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审测算\"/>
    </mc:Choice>
  </mc:AlternateContent>
  <bookViews>
    <workbookView xWindow="480" yWindow="210" windowWidth="12120" windowHeight="7620" tabRatio="875" firstSheet="15" activeTab="18"/>
  </bookViews>
  <sheets>
    <sheet name="收益法 (元)" sheetId="68" state="hidden"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土地案例" sheetId="69" r:id="rId18"/>
    <sheet name="结果表" sheetId="9" r:id="rId19"/>
    <sheet name="剩余法-待开发" sheetId="12"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合院" sheetId="70" r:id="rId35"/>
    <sheet name="不动产比较法-叠拼"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2"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5" hidden="1">'不动产比较法-叠拼'!$A$1:$L$49</definedName>
    <definedName name="_xlnm._FilterDatabase" localSheetId="38" hidden="1">'不动产比较法-工业'!$A$1:$L$43</definedName>
    <definedName name="_xlnm._FilterDatabase" localSheetId="34" hidden="1">'不动产比较法-合院'!$A$1:$L$49</definedName>
    <definedName name="_xlnm._FilterDatabase" localSheetId="36" hidden="1">'不动产比较法-商业'!$A$1:$L$49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34">'不动产比较法-合院'!$B$88:$M$88</definedName>
    <definedName name="住宅朝向" localSheetId="0">'[1]比较法-住宅'!$B$88:$M$88</definedName>
    <definedName name="住宅朝向">'不动产比较法-叠拼'!$B$88:$M$88</definedName>
    <definedName name="住宅房型" localSheetId="34">'不动产比较法-合院'!$B$118:$M$118</definedName>
    <definedName name="住宅房型" localSheetId="0">'[1]比较法-住宅'!$B$118:$M$118</definedName>
    <definedName name="住宅房型">'不动产比较法-叠拼'!$B$118:$M$118</definedName>
    <definedName name="住宅公共部分装修" localSheetId="34">'不动产比较法-合院'!$B$109:$M$109</definedName>
    <definedName name="住宅公共部分装修" localSheetId="0">'[1]比较法-住宅'!$B$109:$M$109</definedName>
    <definedName name="住宅公共部分装修">'不动产比较法-叠拼'!$B$109:$M$109</definedName>
    <definedName name="住宅基础设施水平" localSheetId="34">'不动产比较法-合院'!$B$116:$M$116</definedName>
    <definedName name="住宅基础设施水平" localSheetId="0">'[1]比较法-住宅'!$B$116:$M$116</definedName>
    <definedName name="住宅基础设施水平">'不动产比较法-叠拼'!$B$116:$M$116</definedName>
    <definedName name="住宅建筑结构" localSheetId="34">'不动产比较法-合院'!$B$105:$M$105</definedName>
    <definedName name="住宅建筑结构" localSheetId="0">'[1]比较法-住宅'!$B$105:$M$105</definedName>
    <definedName name="住宅建筑结构">'不动产比较法-叠拼'!$B$105:$M$105</definedName>
    <definedName name="住宅建筑类型" localSheetId="34">'不动产比较法-合院'!$B$100:$M$100</definedName>
    <definedName name="住宅建筑类型" localSheetId="0">'[1]比较法-住宅'!$B$100:$M$100</definedName>
    <definedName name="住宅建筑类型">'不动产比较法-叠拼'!$B$100:$M$100</definedName>
    <definedName name="住宅建筑品质" localSheetId="34">'不动产比较法-合院'!$B$107:$M$107</definedName>
    <definedName name="住宅建筑品质" localSheetId="0">'[1]比较法-住宅'!$B$107:$M$107</definedName>
    <definedName name="住宅建筑品质">'不动产比较法-叠拼'!$B$107:$M$107</definedName>
    <definedName name="住宅交易情况" localSheetId="34">'不动产比较法-合院'!$A$61:$M$61</definedName>
    <definedName name="住宅交易情况" localSheetId="0">'[1]比较法-住宅'!$A$61:$M$61</definedName>
    <definedName name="住宅交易情况">'不动产比较法-叠拼'!$A$61:$M$61</definedName>
    <definedName name="住宅楼层" localSheetId="34">'不动产比较法-合院'!$B$86:$M$86</definedName>
    <definedName name="住宅楼层" localSheetId="0">'[1]比较法-住宅'!$B$86:$M$86</definedName>
    <definedName name="住宅楼层">'不动产比较法-叠拼'!$B$86:$M$86</definedName>
    <definedName name="住宅内部装修" localSheetId="34">'不动产比较法-合院'!$B$122:$M$122</definedName>
    <definedName name="住宅内部装修" localSheetId="0">'[1]比较法-住宅'!$B$122:$M$122</definedName>
    <definedName name="住宅内部装修">'不动产比较法-叠拼'!$B$122:$M$122</definedName>
    <definedName name="住宅物业管理" localSheetId="34">'不动产比较法-合院'!$B$114:$M$114</definedName>
    <definedName name="住宅物业管理" localSheetId="0">'[1]比较法-住宅'!$B$114:$M$114</definedName>
    <definedName name="住宅物业管理">'不动产比较法-叠拼'!$B$114:$M$114</definedName>
    <definedName name="住宅用途" localSheetId="34">'不动产比较法-合院'!$B$63:$M$63</definedName>
    <definedName name="住宅用途" localSheetId="0">'[1]比较法-住宅'!$B$63:$M$63</definedName>
    <definedName name="住宅用途">'不动产比较法-叠拼'!$B$63:$M$63</definedName>
    <definedName name="住宅主力户型面积" localSheetId="34">'不动产比较法-合院'!$B$120:$M$120</definedName>
    <definedName name="住宅主力户型面积">'不动产比较法-叠拼'!$B$120:$M$120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10" i="12" l="1"/>
  <c r="D10" i="12"/>
  <c r="D8" i="12"/>
  <c r="C8" i="12"/>
  <c r="C145" i="70"/>
  <c r="J142" i="70"/>
  <c r="J140" i="70"/>
  <c r="K145" i="70" s="1"/>
  <c r="K139" i="70"/>
  <c r="K143" i="70" s="1"/>
  <c r="B130" i="70"/>
  <c r="B128" i="70"/>
  <c r="B126" i="70"/>
  <c r="D125" i="70"/>
  <c r="E125" i="70" s="1"/>
  <c r="F125" i="70" s="1"/>
  <c r="G125" i="70" s="1"/>
  <c r="E123" i="70"/>
  <c r="F123" i="70" s="1"/>
  <c r="G123" i="70" s="1"/>
  <c r="H123" i="70" s="1"/>
  <c r="I123" i="70" s="1"/>
  <c r="J123" i="70" s="1"/>
  <c r="K123" i="70" s="1"/>
  <c r="L123" i="70" s="1"/>
  <c r="M123" i="70" s="1"/>
  <c r="D123" i="70"/>
  <c r="D119" i="70"/>
  <c r="E119" i="70" s="1"/>
  <c r="F119" i="70" s="1"/>
  <c r="G119" i="70" s="1"/>
  <c r="H119" i="70" s="1"/>
  <c r="I119" i="70" s="1"/>
  <c r="J119" i="70" s="1"/>
  <c r="K119" i="70" s="1"/>
  <c r="L119" i="70" s="1"/>
  <c r="M119" i="70" s="1"/>
  <c r="D117" i="70"/>
  <c r="E117" i="70" s="1"/>
  <c r="F117" i="70" s="1"/>
  <c r="G117" i="70" s="1"/>
  <c r="E115" i="70"/>
  <c r="F115" i="70" s="1"/>
  <c r="G115" i="70" s="1"/>
  <c r="H115" i="70" s="1"/>
  <c r="I115" i="70" s="1"/>
  <c r="J115" i="70" s="1"/>
  <c r="K115" i="70" s="1"/>
  <c r="L115" i="70" s="1"/>
  <c r="M115" i="70" s="1"/>
  <c r="D115" i="70"/>
  <c r="D113" i="70"/>
  <c r="E113" i="70" s="1"/>
  <c r="F113" i="70" s="1"/>
  <c r="G113" i="70" s="1"/>
  <c r="H111" i="70"/>
  <c r="G111" i="70"/>
  <c r="F111" i="70"/>
  <c r="E111" i="70"/>
  <c r="D111" i="70"/>
  <c r="C111" i="70"/>
  <c r="D110" i="70"/>
  <c r="E110" i="70" s="1"/>
  <c r="F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D83" i="70"/>
  <c r="E83" i="70" s="1"/>
  <c r="F83" i="70" s="1"/>
  <c r="G83" i="70" s="1"/>
  <c r="D81" i="70"/>
  <c r="E81" i="70" s="1"/>
  <c r="F81" i="70" s="1"/>
  <c r="G81" i="70" s="1"/>
  <c r="D79" i="70"/>
  <c r="E79" i="70" s="1"/>
  <c r="F79" i="70" s="1"/>
  <c r="G79" i="70" s="1"/>
  <c r="D77" i="70"/>
  <c r="E77" i="70" s="1"/>
  <c r="F77" i="70" s="1"/>
  <c r="G77" i="70" s="1"/>
  <c r="B74" i="70"/>
  <c r="B72" i="70"/>
  <c r="B70" i="70"/>
  <c r="E69" i="70"/>
  <c r="F69" i="70" s="1"/>
  <c r="G69" i="70" s="1"/>
  <c r="H69" i="70" s="1"/>
  <c r="I69" i="70" s="1"/>
  <c r="J69" i="70" s="1"/>
  <c r="K69" i="70" s="1"/>
  <c r="L69" i="70" s="1"/>
  <c r="M69" i="70" s="1"/>
  <c r="D69" i="70"/>
  <c r="M67" i="70"/>
  <c r="L67" i="70"/>
  <c r="K67" i="70"/>
  <c r="J67" i="70"/>
  <c r="I67" i="70"/>
  <c r="H67" i="70"/>
  <c r="G67" i="70"/>
  <c r="F67" i="70"/>
  <c r="E67" i="70"/>
  <c r="D67" i="70"/>
  <c r="C67" i="70"/>
  <c r="D66" i="70"/>
  <c r="E66" i="70" s="1"/>
  <c r="F66" i="70" s="1"/>
  <c r="G66" i="70" s="1"/>
  <c r="H66" i="70" s="1"/>
  <c r="I66" i="70" s="1"/>
  <c r="C63" i="70"/>
  <c r="J54" i="70"/>
  <c r="I54" i="70"/>
  <c r="G54" i="70"/>
  <c r="H54" i="70" s="1"/>
  <c r="F54" i="70"/>
  <c r="E54" i="70"/>
  <c r="P49" i="70"/>
  <c r="P48" i="70"/>
  <c r="V47" i="70"/>
  <c r="T47" i="70"/>
  <c r="R47" i="70"/>
  <c r="P47" i="70"/>
  <c r="Z46" i="70"/>
  <c r="Q46" i="70"/>
  <c r="J46" i="70"/>
  <c r="AC46" i="70" s="1"/>
  <c r="H46" i="70"/>
  <c r="AB46" i="70" s="1"/>
  <c r="F46" i="70"/>
  <c r="AA46" i="70" s="1"/>
  <c r="Q45" i="70"/>
  <c r="Z45" i="70" s="1"/>
  <c r="J45" i="70"/>
  <c r="W45" i="70" s="1"/>
  <c r="H45" i="70"/>
  <c r="AB45" i="70" s="1"/>
  <c r="F45" i="70"/>
  <c r="AA45" i="70" s="1"/>
  <c r="U44" i="70"/>
  <c r="Q44" i="70"/>
  <c r="Z44" i="70" s="1"/>
  <c r="J44" i="70"/>
  <c r="AC44" i="70" s="1"/>
  <c r="H44" i="70"/>
  <c r="AB44" i="70" s="1"/>
  <c r="F44" i="70"/>
  <c r="AA44" i="70" s="1"/>
  <c r="Q43" i="70"/>
  <c r="Z43" i="70" s="1"/>
  <c r="J43" i="70"/>
  <c r="AC43" i="70" s="1"/>
  <c r="H43" i="70"/>
  <c r="AB43" i="70" s="1"/>
  <c r="F43" i="70"/>
  <c r="S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W39" i="70"/>
  <c r="Q39" i="70"/>
  <c r="Z39" i="70" s="1"/>
  <c r="J39" i="70"/>
  <c r="AC39" i="70" s="1"/>
  <c r="H39" i="70"/>
  <c r="AB39" i="70" s="1"/>
  <c r="F39" i="70"/>
  <c r="S39" i="70" s="1"/>
  <c r="U38" i="70"/>
  <c r="Q38" i="70"/>
  <c r="Z38" i="70" s="1"/>
  <c r="J38" i="70"/>
  <c r="AC38" i="70" s="1"/>
  <c r="H38" i="70"/>
  <c r="AB38" i="70" s="1"/>
  <c r="F38" i="70"/>
  <c r="AA38" i="70" s="1"/>
  <c r="AC37" i="70"/>
  <c r="W37" i="70"/>
  <c r="S37" i="70"/>
  <c r="Q37" i="70"/>
  <c r="Z37" i="70" s="1"/>
  <c r="J37" i="70"/>
  <c r="F37" i="70"/>
  <c r="AA37" i="70" s="1"/>
  <c r="Q36" i="70"/>
  <c r="Z36" i="70" s="1"/>
  <c r="H36" i="70"/>
  <c r="AB36" i="70" s="1"/>
  <c r="AC35" i="70"/>
  <c r="W35" i="70"/>
  <c r="Q35" i="70"/>
  <c r="Z35" i="70" s="1"/>
  <c r="J35" i="70"/>
  <c r="H35" i="70"/>
  <c r="AB35" i="70" s="1"/>
  <c r="F35" i="70"/>
  <c r="S35" i="70" s="1"/>
  <c r="Q34" i="70"/>
  <c r="Z34" i="70" s="1"/>
  <c r="J34" i="70"/>
  <c r="AC34" i="70" s="1"/>
  <c r="H34" i="70"/>
  <c r="AB34" i="70" s="1"/>
  <c r="F34" i="70"/>
  <c r="AA34" i="70" s="1"/>
  <c r="AC33" i="70"/>
  <c r="W33" i="70"/>
  <c r="Q33" i="70"/>
  <c r="Z33" i="70" s="1"/>
  <c r="J33" i="70"/>
  <c r="F33" i="70"/>
  <c r="AA33" i="70" s="1"/>
  <c r="C33" i="70"/>
  <c r="H33" i="70" s="1"/>
  <c r="Q32" i="70"/>
  <c r="Z32" i="70" s="1"/>
  <c r="J32" i="70"/>
  <c r="W32" i="70" s="1"/>
  <c r="Z31" i="70"/>
  <c r="Q31" i="70"/>
  <c r="J31" i="70"/>
  <c r="AC31" i="70" s="1"/>
  <c r="H31" i="70"/>
  <c r="U31" i="70" s="1"/>
  <c r="F31" i="70"/>
  <c r="AA31" i="70" s="1"/>
  <c r="AC30" i="70"/>
  <c r="W30" i="70"/>
  <c r="Q30" i="70"/>
  <c r="Z30" i="70" s="1"/>
  <c r="J30" i="70"/>
  <c r="H30" i="70"/>
  <c r="AB30" i="70" s="1"/>
  <c r="F30" i="70"/>
  <c r="S30" i="70" s="1"/>
  <c r="AB29" i="70"/>
  <c r="U29" i="70"/>
  <c r="Q29" i="70"/>
  <c r="Z29" i="70" s="1"/>
  <c r="J29" i="70"/>
  <c r="AC29" i="70" s="1"/>
  <c r="H29" i="70"/>
  <c r="F29" i="70"/>
  <c r="AA29" i="70" s="1"/>
  <c r="Q28" i="70"/>
  <c r="Z28" i="70" s="1"/>
  <c r="J28" i="70"/>
  <c r="AC28" i="70" s="1"/>
  <c r="H28" i="70"/>
  <c r="AB28" i="70" s="1"/>
  <c r="F28" i="70"/>
  <c r="S28" i="70" s="1"/>
  <c r="Q27" i="70"/>
  <c r="Z27" i="70" s="1"/>
  <c r="J27" i="70"/>
  <c r="AC27" i="70" s="1"/>
  <c r="H27" i="70"/>
  <c r="AB27" i="70" s="1"/>
  <c r="F27" i="70"/>
  <c r="AA27" i="70" s="1"/>
  <c r="AC26" i="70"/>
  <c r="W26" i="70"/>
  <c r="Q26" i="70"/>
  <c r="Z26" i="70" s="1"/>
  <c r="J26" i="70"/>
  <c r="H26" i="70"/>
  <c r="AB26" i="70" s="1"/>
  <c r="F26" i="70"/>
  <c r="AA26" i="70" s="1"/>
  <c r="U25" i="70"/>
  <c r="Q25" i="70"/>
  <c r="Z25" i="70" s="1"/>
  <c r="J25" i="70"/>
  <c r="AC25" i="70" s="1"/>
  <c r="H25" i="70"/>
  <c r="AB25" i="70" s="1"/>
  <c r="F25" i="70"/>
  <c r="AA25" i="70" s="1"/>
  <c r="AC23" i="70"/>
  <c r="Q23" i="70"/>
  <c r="Z23" i="70" s="1"/>
  <c r="J23" i="70"/>
  <c r="W23" i="70" s="1"/>
  <c r="F23" i="70"/>
  <c r="AA23" i="70" s="1"/>
  <c r="C23" i="70"/>
  <c r="AC21" i="70"/>
  <c r="Q21" i="70"/>
  <c r="Z21" i="70" s="1"/>
  <c r="J21" i="70"/>
  <c r="W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C11" i="70"/>
  <c r="F11" i="70" s="1"/>
  <c r="Q10" i="70"/>
  <c r="Z10" i="70" s="1"/>
  <c r="J10" i="70"/>
  <c r="AC10" i="70" s="1"/>
  <c r="H10" i="70"/>
  <c r="AB10" i="70" s="1"/>
  <c r="F10" i="70"/>
  <c r="AA10" i="70" s="1"/>
  <c r="Q9" i="70"/>
  <c r="Z9" i="70" s="1"/>
  <c r="J9" i="70"/>
  <c r="AC9" i="70" s="1"/>
  <c r="H9" i="70"/>
  <c r="AB9" i="70" s="1"/>
  <c r="F9" i="70"/>
  <c r="AA9" i="70" s="1"/>
  <c r="AA8" i="70"/>
  <c r="S8" i="70"/>
  <c r="J8" i="70"/>
  <c r="W8" i="70" s="1"/>
  <c r="H8" i="70"/>
  <c r="U8" i="70" s="1"/>
  <c r="F8" i="70"/>
  <c r="C7" i="70"/>
  <c r="C58" i="70" s="1"/>
  <c r="D58" i="70" s="1"/>
  <c r="E58" i="70" s="1"/>
  <c r="F58" i="70" s="1"/>
  <c r="G58" i="70" s="1"/>
  <c r="H58" i="70" s="1"/>
  <c r="I58" i="70" s="1"/>
  <c r="J58" i="70" s="1"/>
  <c r="K58" i="70" s="1"/>
  <c r="L58" i="70" s="1"/>
  <c r="M58" i="70" s="1"/>
  <c r="N58" i="70" s="1"/>
  <c r="O58" i="70" s="1"/>
  <c r="D3" i="70"/>
  <c r="AC32" i="70" l="1"/>
  <c r="F32" i="70"/>
  <c r="AA32" i="70" s="1"/>
  <c r="AA11" i="70"/>
  <c r="S11" i="70"/>
  <c r="S26" i="70"/>
  <c r="U27" i="70"/>
  <c r="W28" i="70"/>
  <c r="AA30" i="70"/>
  <c r="AB31" i="70"/>
  <c r="AB33" i="70"/>
  <c r="U33" i="70"/>
  <c r="S33" i="70"/>
  <c r="U34" i="70"/>
  <c r="AA39" i="70"/>
  <c r="W41" i="70"/>
  <c r="AA43" i="70"/>
  <c r="AC45" i="70"/>
  <c r="I101" i="70"/>
  <c r="J101" i="70" s="1"/>
  <c r="K101" i="70" s="1"/>
  <c r="L101" i="70" s="1"/>
  <c r="M101" i="70" s="1"/>
  <c r="H32" i="70"/>
  <c r="W10" i="70"/>
  <c r="W11" i="70"/>
  <c r="S13" i="70"/>
  <c r="U14" i="70"/>
  <c r="U17" i="70"/>
  <c r="U21" i="70"/>
  <c r="AB8" i="70"/>
  <c r="W15" i="70"/>
  <c r="W17" i="70"/>
  <c r="W19" i="70"/>
  <c r="S23" i="70"/>
  <c r="AA28" i="70"/>
  <c r="AA35" i="70"/>
  <c r="U36" i="70"/>
  <c r="H113" i="70"/>
  <c r="H37" i="70"/>
  <c r="U15" i="70"/>
  <c r="U19" i="70"/>
  <c r="W9" i="70"/>
  <c r="S12" i="70"/>
  <c r="U13" i="70"/>
  <c r="W14" i="70"/>
  <c r="E7" i="70"/>
  <c r="AC8" i="70"/>
  <c r="S10" i="70"/>
  <c r="U12" i="70"/>
  <c r="W13" i="70"/>
  <c r="U40" i="70"/>
  <c r="F36" i="70"/>
  <c r="G110" i="70"/>
  <c r="H110" i="70" s="1"/>
  <c r="I110" i="70" s="1"/>
  <c r="J110" i="70" s="1"/>
  <c r="K110" i="70" s="1"/>
  <c r="L110" i="70" s="1"/>
  <c r="M110" i="70" s="1"/>
  <c r="J36" i="70"/>
  <c r="U9" i="70"/>
  <c r="S9" i="70"/>
  <c r="U10" i="70"/>
  <c r="U11" i="70"/>
  <c r="W12" i="70"/>
  <c r="S14" i="70"/>
  <c r="S15" i="70"/>
  <c r="S17" i="70"/>
  <c r="S19" i="70"/>
  <c r="S21" i="70"/>
  <c r="F85" i="70"/>
  <c r="G85" i="70" s="1"/>
  <c r="H23" i="70"/>
  <c r="S25" i="70"/>
  <c r="U26" i="70"/>
  <c r="W27" i="70"/>
  <c r="S29" i="70"/>
  <c r="U30" i="70"/>
  <c r="W31" i="70"/>
  <c r="S34" i="70"/>
  <c r="U35" i="70"/>
  <c r="S38" i="70"/>
  <c r="U39" i="70"/>
  <c r="W40" i="70"/>
  <c r="S42" i="70"/>
  <c r="U43" i="70"/>
  <c r="W44" i="70"/>
  <c r="S46" i="70"/>
  <c r="S41" i="70"/>
  <c r="U42" i="70"/>
  <c r="W43" i="70"/>
  <c r="S45" i="70"/>
  <c r="U46" i="70"/>
  <c r="K144" i="70"/>
  <c r="W25" i="70"/>
  <c r="S27" i="70"/>
  <c r="U28" i="70"/>
  <c r="W29" i="70"/>
  <c r="S31" i="70"/>
  <c r="W34" i="70"/>
  <c r="W38" i="70"/>
  <c r="S40" i="70"/>
  <c r="U41" i="70"/>
  <c r="W42" i="70"/>
  <c r="S44" i="70"/>
  <c r="U45" i="70"/>
  <c r="W46" i="70"/>
  <c r="K141" i="70"/>
  <c r="I7" i="21"/>
  <c r="G7" i="21"/>
  <c r="C33" i="21"/>
  <c r="C11" i="21"/>
  <c r="S32" i="70" l="1"/>
  <c r="AB23" i="70"/>
  <c r="U23" i="70"/>
  <c r="AB37" i="70"/>
  <c r="U37" i="70"/>
  <c r="AB32" i="70"/>
  <c r="U32" i="70"/>
  <c r="AC36" i="70"/>
  <c r="W36" i="70"/>
  <c r="F7" i="70"/>
  <c r="G7" i="70"/>
  <c r="AA36" i="70"/>
  <c r="S36" i="70"/>
  <c r="I7" i="70" l="1"/>
  <c r="J7" i="70" s="1"/>
  <c r="H7" i="70"/>
  <c r="AA7" i="70"/>
  <c r="R48" i="70" s="1"/>
  <c r="S7" i="70"/>
  <c r="E48" i="70" l="1"/>
  <c r="U7" i="70"/>
  <c r="AB7" i="70"/>
  <c r="T48" i="70" s="1"/>
  <c r="G48" i="70" s="1"/>
  <c r="W7" i="70"/>
  <c r="AC7" i="70"/>
  <c r="V48" i="70" s="1"/>
  <c r="I48" i="70" s="1"/>
  <c r="G53" i="70" l="1"/>
  <c r="H53" i="70" s="1"/>
  <c r="G52" i="70"/>
  <c r="H52" i="70" s="1"/>
  <c r="I52" i="70"/>
  <c r="J52" i="70" s="1"/>
  <c r="I53" i="70"/>
  <c r="J53" i="70" s="1"/>
  <c r="E52" i="70"/>
  <c r="F52" i="70" s="1"/>
  <c r="E53" i="70"/>
  <c r="F53" i="70" s="1"/>
  <c r="R49" i="70"/>
  <c r="C48" i="70" l="1"/>
  <c r="C49" i="70"/>
  <c r="B3" i="70" s="1"/>
  <c r="B2" i="70" s="1"/>
  <c r="E7" i="21" l="1"/>
  <c r="F20" i="6" l="1"/>
  <c r="F19" i="6"/>
  <c r="M13" i="3"/>
  <c r="K13" i="3"/>
  <c r="I13" i="3"/>
  <c r="AD13" i="3"/>
  <c r="I48" i="39" l="1"/>
  <c r="G48" i="39"/>
  <c r="E48" i="39"/>
  <c r="I40" i="39"/>
  <c r="G40" i="39"/>
  <c r="E40" i="39"/>
  <c r="I13" i="39"/>
  <c r="G13" i="39"/>
  <c r="E13" i="39"/>
  <c r="I9" i="39"/>
  <c r="G9" i="39"/>
  <c r="E9" i="39"/>
  <c r="I7" i="39"/>
  <c r="G7" i="39"/>
  <c r="E7" i="39"/>
  <c r="B56" i="1"/>
  <c r="D3" i="4" l="1"/>
  <c r="Q72" i="68" l="1"/>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M24" i="68"/>
  <c r="F38" i="68"/>
  <c r="M8" i="68"/>
  <c r="M22" i="68"/>
  <c r="M9" i="68"/>
  <c r="F36" i="68"/>
  <c r="C76" i="68"/>
  <c r="F8" i="68"/>
  <c r="F42" i="68"/>
  <c r="F6" i="68"/>
  <c r="F16" i="68"/>
  <c r="F37" i="68"/>
  <c r="F26" i="68"/>
  <c r="F13" i="68"/>
  <c r="M28" i="68"/>
  <c r="J15" i="68"/>
  <c r="M23" i="68"/>
  <c r="F40" i="68"/>
  <c r="F9" i="68"/>
  <c r="M26"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B13" i="67"/>
  <c r="B14" i="67"/>
  <c r="E12" i="67"/>
  <c r="F14" i="67"/>
  <c r="F10" i="67"/>
  <c r="B8" i="67"/>
  <c r="E13" i="67"/>
  <c r="F8" i="67"/>
  <c r="F13" i="67"/>
  <c r="E11" i="67"/>
  <c r="E9" i="67"/>
  <c r="E14" i="67"/>
  <c r="B12" i="67"/>
  <c r="F9" i="67"/>
  <c r="F12" i="67"/>
  <c r="E8" i="67"/>
  <c r="B10" i="67"/>
  <c r="B11" i="67"/>
  <c r="B9" i="67"/>
  <c r="F11"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6" i="65"/>
  <c r="I3" i="65"/>
  <c r="N5" i="65"/>
  <c r="N3" i="65"/>
  <c r="N4" i="65"/>
  <c r="C4" i="65" l="1"/>
  <c r="B39" i="1" s="1"/>
  <c r="J3" i="65"/>
  <c r="J5" i="65"/>
  <c r="J4" i="65"/>
  <c r="I7" i="65"/>
  <c r="J7" i="65"/>
  <c r="J6" i="65"/>
  <c r="I6" i="65"/>
  <c r="I5" i="65"/>
  <c r="I4" i="65"/>
  <c r="E20" i="46" l="1"/>
  <c r="J1" i="65"/>
  <c r="M5" i="54"/>
  <c r="A23" i="51"/>
  <c r="E3" i="65"/>
  <c r="F17" i="11" l="1"/>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B64" i="59" s="1"/>
  <c r="B63" i="59" s="1"/>
  <c r="F64" i="59"/>
  <c r="F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Q16" i="59"/>
  <c r="AB16" i="59" s="1"/>
  <c r="P16" i="59"/>
  <c r="AA16" i="59" s="1"/>
  <c r="O16" i="59"/>
  <c r="Y16" i="59" s="1"/>
  <c r="Z16" i="59" s="1"/>
  <c r="N16" i="59"/>
  <c r="Q15" i="59"/>
  <c r="AB15" i="59" s="1"/>
  <c r="P15" i="59"/>
  <c r="AA15" i="59" s="1"/>
  <c r="O15" i="59"/>
  <c r="Y15" i="59" s="1"/>
  <c r="Z15" i="59" s="1"/>
  <c r="N15" i="59"/>
  <c r="Q14" i="59"/>
  <c r="P14" i="59"/>
  <c r="O14" i="59"/>
  <c r="N14" i="59"/>
  <c r="D14" i="59"/>
  <c r="Q13" i="59"/>
  <c r="AB13" i="59" s="1"/>
  <c r="P13" i="59"/>
  <c r="AA13" i="59" s="1"/>
  <c r="O13" i="59"/>
  <c r="N13" i="59"/>
  <c r="Q12" i="59"/>
  <c r="AB12" i="59" s="1"/>
  <c r="P12" i="59"/>
  <c r="AA12" i="59" s="1"/>
  <c r="O12" i="59"/>
  <c r="N12" i="59"/>
  <c r="Q11" i="59"/>
  <c r="AB11" i="59" s="1"/>
  <c r="P11" i="59"/>
  <c r="AA11" i="59" s="1"/>
  <c r="O11" i="59"/>
  <c r="N11" i="59"/>
  <c r="Q10" i="59"/>
  <c r="P10" i="59"/>
  <c r="AA10" i="59" s="1"/>
  <c r="O10" i="59"/>
  <c r="N10" i="59"/>
  <c r="D10" i="59"/>
  <c r="Q46" i="59" l="1"/>
  <c r="X11" i="59"/>
  <c r="X12" i="59"/>
  <c r="X13" i="59"/>
  <c r="B48" i="59"/>
  <c r="Y11" i="59"/>
  <c r="Z11" i="59" s="1"/>
  <c r="Y12" i="59"/>
  <c r="Z12" i="59" s="1"/>
  <c r="Y13" i="59"/>
  <c r="Z13" i="59" s="1"/>
  <c r="X15" i="59"/>
  <c r="X16" i="59"/>
  <c r="X17" i="59"/>
  <c r="C15" i="59"/>
  <c r="C16" i="59" s="1"/>
  <c r="Y14" i="59"/>
  <c r="Z14" i="59" s="1"/>
  <c r="F15" i="59"/>
  <c r="AB14" i="59"/>
  <c r="B19" i="59"/>
  <c r="B20" i="59" s="1"/>
  <c r="B21" i="59" s="1"/>
  <c r="S21" i="59" s="1"/>
  <c r="X18" i="59"/>
  <c r="E19" i="59"/>
  <c r="E20" i="59" s="1"/>
  <c r="E21" i="59" s="1"/>
  <c r="U21" i="59" s="1"/>
  <c r="AA18" i="59"/>
  <c r="B9" i="59"/>
  <c r="X5" i="59"/>
  <c r="E9" i="59"/>
  <c r="AA5" i="59"/>
  <c r="B11" i="59"/>
  <c r="B12" i="59" s="1"/>
  <c r="B13" i="59" s="1"/>
  <c r="S13" i="59" s="1"/>
  <c r="X10" i="59"/>
  <c r="C11" i="59"/>
  <c r="Y10" i="59"/>
  <c r="Z10" i="59" s="1"/>
  <c r="F11" i="59"/>
  <c r="F12" i="59" s="1"/>
  <c r="F13" i="59" s="1"/>
  <c r="V13" i="59" s="1"/>
  <c r="AB10" i="59"/>
  <c r="B15" i="59"/>
  <c r="B16" i="59" s="1"/>
  <c r="B17" i="59" s="1"/>
  <c r="S17" i="59" s="1"/>
  <c r="X14" i="59"/>
  <c r="E15" i="59"/>
  <c r="E16" i="59" s="1"/>
  <c r="E17" i="59" s="1"/>
  <c r="U17" i="59" s="1"/>
  <c r="AA14" i="59"/>
  <c r="C19" i="59"/>
  <c r="Y18" i="59"/>
  <c r="Z18" i="59" s="1"/>
  <c r="F19" i="59"/>
  <c r="F20" i="59" s="1"/>
  <c r="F21" i="59" s="1"/>
  <c r="V21" i="59" s="1"/>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E11" i="59"/>
  <c r="E12" i="59" s="1"/>
  <c r="E13" i="59" s="1"/>
  <c r="U13" i="59" s="1"/>
  <c r="B32" i="59"/>
  <c r="B33" i="59" s="1"/>
  <c r="S33" i="59" s="1"/>
  <c r="E32" i="59"/>
  <c r="E33" i="59" s="1"/>
  <c r="U33" i="59" s="1"/>
  <c r="S49" i="59"/>
  <c r="Z19" i="59"/>
  <c r="AA20" i="59"/>
  <c r="F16" i="59"/>
  <c r="F17" i="59" s="1"/>
  <c r="V17"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D15" i="59" l="1"/>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L92" i="3" s="1"/>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A83" i="3" s="1"/>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A60" i="3" s="1"/>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A44" i="3" s="1"/>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L36" i="3" s="1"/>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A203" i="3" s="1"/>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L183" i="3" s="1"/>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L136" i="3" s="1"/>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L288" i="3" s="1"/>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A271" i="3" s="1"/>
  <c r="AZ271" i="3" s="1"/>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A242" i="3" s="1"/>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L369" i="3" s="1"/>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A429" i="3" s="1"/>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A569" i="3" s="1"/>
  <c r="AZ569" i="3" s="1"/>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W38" i="34" s="1"/>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H40" i="37" s="1"/>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J13" i="36" s="1"/>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F11" i="35" s="1"/>
  <c r="S11" i="35" s="1"/>
  <c r="B61" i="35"/>
  <c r="B59" i="35"/>
  <c r="H12" i="35" s="1"/>
  <c r="B131" i="34"/>
  <c r="B129" i="34"/>
  <c r="B127" i="34"/>
  <c r="B99" i="34"/>
  <c r="B97" i="34"/>
  <c r="B95" i="34"/>
  <c r="B93" i="34"/>
  <c r="B75" i="34"/>
  <c r="B73" i="34"/>
  <c r="B71" i="34"/>
  <c r="B130" i="33"/>
  <c r="B128" i="33"/>
  <c r="H45" i="33" s="1"/>
  <c r="U45" i="33" s="1"/>
  <c r="B126" i="33"/>
  <c r="B98" i="33"/>
  <c r="F31" i="33" s="1"/>
  <c r="B96" i="33"/>
  <c r="B94" i="33"/>
  <c r="B74" i="33"/>
  <c r="F14" i="33" s="1"/>
  <c r="AA14" i="33" s="1"/>
  <c r="B72" i="33"/>
  <c r="B70" i="33"/>
  <c r="J12" i="33" s="1"/>
  <c r="W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B98" i="21"/>
  <c r="B96" i="21"/>
  <c r="F30" i="21" s="1"/>
  <c r="S30" i="21" s="1"/>
  <c r="B94" i="21"/>
  <c r="B92" i="21"/>
  <c r="B90" i="21"/>
  <c r="B74" i="21"/>
  <c r="F14" i="21" s="1"/>
  <c r="AA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6"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9" i="21"/>
  <c r="AA39" i="21" s="1"/>
  <c r="J40" i="21"/>
  <c r="W40" i="21" s="1"/>
  <c r="H35" i="21"/>
  <c r="AB35" i="21" s="1"/>
  <c r="J8" i="21"/>
  <c r="J9" i="21"/>
  <c r="AC9" i="21" s="1"/>
  <c r="H8" i="21"/>
  <c r="U8" i="21" s="1"/>
  <c r="H9" i="21"/>
  <c r="AB9" i="21" s="1"/>
  <c r="H39" i="21"/>
  <c r="AB39" i="21" s="1"/>
  <c r="J34" i="21"/>
  <c r="W34" i="21" s="1"/>
  <c r="F35" i="21"/>
  <c r="AA35" i="21" s="1"/>
  <c r="J33" i="21"/>
  <c r="W33" i="21" s="1"/>
  <c r="H33" i="21"/>
  <c r="U33" i="21" s="1"/>
  <c r="F33" i="21"/>
  <c r="S33" i="21" s="1"/>
  <c r="H26" i="21"/>
  <c r="F19" i="21"/>
  <c r="AA19" i="21" s="1"/>
  <c r="H19" i="21"/>
  <c r="AB19" i="21" s="1"/>
  <c r="J19" i="21"/>
  <c r="W19" i="21" s="1"/>
  <c r="H12" i="21"/>
  <c r="U12" i="21" s="1"/>
  <c r="J26" i="21"/>
  <c r="W26" i="21" s="1"/>
  <c r="F26" i="21"/>
  <c r="AA26" i="21" s="1"/>
  <c r="AA41" i="21"/>
  <c r="W41" i="21"/>
  <c r="S10" i="39"/>
  <c r="U30" i="37"/>
  <c r="F103" i="37"/>
  <c r="F39" i="37"/>
  <c r="S39" i="37" s="1"/>
  <c r="W39" i="37"/>
  <c r="F29" i="36"/>
  <c r="AA29" i="36" s="1"/>
  <c r="F16" i="36"/>
  <c r="AA16" i="36" s="1"/>
  <c r="U22" i="36"/>
  <c r="W23" i="36"/>
  <c r="W22" i="36"/>
  <c r="U26" i="36"/>
  <c r="AC31" i="36"/>
  <c r="J33" i="36"/>
  <c r="W33" i="36" s="1"/>
  <c r="AC27" i="35"/>
  <c r="U31" i="35"/>
  <c r="W36" i="35"/>
  <c r="S31" i="35"/>
  <c r="W31" i="35"/>
  <c r="F36" i="34"/>
  <c r="S36" i="34" s="1"/>
  <c r="S34" i="34"/>
  <c r="W39" i="34"/>
  <c r="H39" i="33"/>
  <c r="AB39" i="33" s="1"/>
  <c r="F26" i="33"/>
  <c r="AA26" i="33" s="1"/>
  <c r="U33" i="33"/>
  <c r="S40" i="33"/>
  <c r="S33" i="33"/>
  <c r="W33" i="33"/>
  <c r="H39" i="37"/>
  <c r="AB39" i="37" s="1"/>
  <c r="S10" i="40"/>
  <c r="W10" i="40"/>
  <c r="S11" i="40"/>
  <c r="U11" i="40"/>
  <c r="S36" i="40"/>
  <c r="U36" i="40"/>
  <c r="S36" i="39"/>
  <c r="F11" i="21"/>
  <c r="S11" i="21" s="1"/>
  <c r="C29" i="39"/>
  <c r="C23" i="39"/>
  <c r="U36" i="39"/>
  <c r="H32" i="33"/>
  <c r="AB32" i="33" s="1"/>
  <c r="H11" i="21"/>
  <c r="U11" i="21" s="1"/>
  <c r="J11" i="21"/>
  <c r="W11" i="21" s="1"/>
  <c r="F100" i="40"/>
  <c r="F86"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J28" i="34"/>
  <c r="W28" i="34" s="1"/>
  <c r="E113" i="33"/>
  <c r="F36" i="33"/>
  <c r="S36" i="33" s="1"/>
  <c r="F19" i="33"/>
  <c r="S19" i="33" s="1"/>
  <c r="J19" i="33"/>
  <c r="W40" i="33"/>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AA38" i="34"/>
  <c r="S38" i="34"/>
  <c r="J37" i="33"/>
  <c r="W37" i="33" s="1"/>
  <c r="J42" i="21"/>
  <c r="AC42" i="21" s="1"/>
  <c r="J44" i="34"/>
  <c r="AC44" i="34" s="1"/>
  <c r="F44" i="34"/>
  <c r="S44" i="34" s="1"/>
  <c r="J10" i="35"/>
  <c r="W10" i="35" s="1"/>
  <c r="AL5" i="3"/>
  <c r="BQ13" i="3"/>
  <c r="J14" i="21"/>
  <c r="W14" i="21" s="1"/>
  <c r="H14" i="21"/>
  <c r="F28" i="21"/>
  <c r="AA28" i="21" s="1"/>
  <c r="H30" i="21"/>
  <c r="U30" i="21" s="1"/>
  <c r="J30" i="21"/>
  <c r="AC30" i="21" s="1"/>
  <c r="H44" i="21"/>
  <c r="U44" i="21" s="1"/>
  <c r="H46" i="21"/>
  <c r="AB46" i="21" s="1"/>
  <c r="F46" i="21"/>
  <c r="AA46" i="21" s="1"/>
  <c r="H26" i="33"/>
  <c r="U26" i="33"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H28" i="36"/>
  <c r="U28" i="36" s="1"/>
  <c r="H32" i="36"/>
  <c r="AB32" i="36" s="1"/>
  <c r="J32" i="36"/>
  <c r="J11" i="36"/>
  <c r="W11" i="36" s="1"/>
  <c r="H13" i="36"/>
  <c r="AB13" i="36" s="1"/>
  <c r="F13" i="36"/>
  <c r="S13" i="36" s="1"/>
  <c r="J29" i="37"/>
  <c r="W29" i="37" s="1"/>
  <c r="F29" i="37"/>
  <c r="AA29" i="37" s="1"/>
  <c r="F105" i="37"/>
  <c r="G105" i="37" s="1"/>
  <c r="AB36" i="37"/>
  <c r="F107" i="37"/>
  <c r="J37" i="37"/>
  <c r="AC37" i="37" s="1"/>
  <c r="H37" i="37"/>
  <c r="U37" i="37" s="1"/>
  <c r="J40" i="37"/>
  <c r="H14" i="33"/>
  <c r="U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13" i="35"/>
  <c r="W46" i="33"/>
  <c r="J36" i="37"/>
  <c r="AC36" i="37" s="1"/>
  <c r="AB28" i="36"/>
  <c r="AB31" i="21"/>
  <c r="W30" i="21"/>
  <c r="S28" i="21"/>
  <c r="AC14" i="21"/>
  <c r="U36" i="37"/>
  <c r="AB45" i="33"/>
  <c r="AB31" i="33"/>
  <c r="S45" i="21"/>
  <c r="G529" i="3"/>
  <c r="G521" i="3"/>
  <c r="G517" i="3"/>
  <c r="G513" i="3"/>
  <c r="G508" i="3"/>
  <c r="G493" i="3"/>
  <c r="G485" i="3"/>
  <c r="G17" i="3"/>
  <c r="G561" i="3"/>
  <c r="G557" i="3"/>
  <c r="G549" i="3"/>
  <c r="G545" i="3"/>
  <c r="G539" i="3"/>
  <c r="BL569" i="3"/>
  <c r="BL561" i="3"/>
  <c r="BL553" i="3"/>
  <c r="BL545" i="3"/>
  <c r="BL535" i="3"/>
  <c r="BL519" i="3"/>
  <c r="BL511" i="3"/>
  <c r="BL501" i="3"/>
  <c r="BL491" i="3"/>
  <c r="BL483" i="3"/>
  <c r="G16" i="3"/>
  <c r="BL563" i="3"/>
  <c r="BL555" i="3"/>
  <c r="BL551" i="3"/>
  <c r="BL533" i="3"/>
  <c r="BL525" i="3"/>
  <c r="G518" i="3"/>
  <c r="G510" i="3"/>
  <c r="BL503" i="3"/>
  <c r="BL495" i="3"/>
  <c r="BL485" i="3"/>
  <c r="G18" i="3"/>
  <c r="BA565" i="3"/>
  <c r="BA559" i="3"/>
  <c r="BA557" i="3"/>
  <c r="BA551" i="3"/>
  <c r="BA545" i="3"/>
  <c r="AZ545" i="3" s="1"/>
  <c r="BA543" i="3"/>
  <c r="BA531" i="3"/>
  <c r="BA521" i="3"/>
  <c r="BA509" i="3"/>
  <c r="BA501" i="3"/>
  <c r="BA493" i="3"/>
  <c r="BA487" i="3"/>
  <c r="BA19" i="3"/>
  <c r="BA566" i="3"/>
  <c r="BA560" i="3"/>
  <c r="AZ560" i="3" s="1"/>
  <c r="BA558" i="3"/>
  <c r="BA556" i="3"/>
  <c r="BA550" i="3"/>
  <c r="BA546" i="3"/>
  <c r="BA544" i="3"/>
  <c r="BA536" i="3"/>
  <c r="BA532" i="3"/>
  <c r="BA528" i="3"/>
  <c r="BA520" i="3"/>
  <c r="BA516" i="3"/>
  <c r="BA512" i="3"/>
  <c r="BA502" i="3"/>
  <c r="BA498" i="3"/>
  <c r="BA492" i="3"/>
  <c r="BA488" i="3"/>
  <c r="BA484" i="3"/>
  <c r="BA20" i="3"/>
  <c r="G560" i="3"/>
  <c r="G558" i="3"/>
  <c r="G556" i="3"/>
  <c r="G554" i="3"/>
  <c r="G550" i="3"/>
  <c r="G546" i="3"/>
  <c r="BL543" i="3"/>
  <c r="AZ543" i="3" s="1"/>
  <c r="BA542" i="3"/>
  <c r="AC542" i="3"/>
  <c r="G542" i="3"/>
  <c r="BQ542" i="3"/>
  <c r="BL542" i="3" s="1"/>
  <c r="BQ568" i="3"/>
  <c r="BQ566" i="3"/>
  <c r="BQ564" i="3"/>
  <c r="BL564" i="3" s="1"/>
  <c r="BQ562" i="3"/>
  <c r="BL562" i="3" s="1"/>
  <c r="BQ560" i="3"/>
  <c r="BL560" i="3"/>
  <c r="BQ558" i="3"/>
  <c r="BL558" i="3" s="1"/>
  <c r="AZ558" i="3" s="1"/>
  <c r="BQ556" i="3"/>
  <c r="BL556" i="3"/>
  <c r="BQ554" i="3"/>
  <c r="BQ552" i="3"/>
  <c r="BL552" i="3"/>
  <c r="BQ550" i="3"/>
  <c r="BL550" i="3" s="1"/>
  <c r="BQ548" i="3"/>
  <c r="BQ546" i="3"/>
  <c r="BL546" i="3" s="1"/>
  <c r="BQ544" i="3"/>
  <c r="BL544" i="3" s="1"/>
  <c r="AZ544" i="3" s="1"/>
  <c r="G544" i="3"/>
  <c r="G538" i="3"/>
  <c r="G534" i="3"/>
  <c r="G530" i="3"/>
  <c r="G526" i="3"/>
  <c r="G522" i="3"/>
  <c r="BQ540" i="3"/>
  <c r="BL540" i="3"/>
  <c r="BQ538" i="3"/>
  <c r="BL538" i="3" s="1"/>
  <c r="AZ538" i="3" s="1"/>
  <c r="BQ536" i="3"/>
  <c r="BQ534" i="3"/>
  <c r="BL534" i="3" s="1"/>
  <c r="BQ532" i="3"/>
  <c r="BL532" i="3" s="1"/>
  <c r="AZ532" i="3" s="1"/>
  <c r="BQ530" i="3"/>
  <c r="BQ528" i="3"/>
  <c r="BQ526" i="3"/>
  <c r="BL526" i="3" s="1"/>
  <c r="BQ524" i="3"/>
  <c r="BL524" i="3" s="1"/>
  <c r="BQ522" i="3"/>
  <c r="BQ520" i="3"/>
  <c r="BL520" i="3"/>
  <c r="AZ520" i="3" s="1"/>
  <c r="BQ518" i="3"/>
  <c r="BQ516" i="3"/>
  <c r="BL516" i="3" s="1"/>
  <c r="AZ516" i="3" s="1"/>
  <c r="BQ514" i="3"/>
  <c r="BL514" i="3" s="1"/>
  <c r="BQ512" i="3"/>
  <c r="BQ510" i="3"/>
  <c r="BL510" i="3" s="1"/>
  <c r="BQ508" i="3"/>
  <c r="BL508" i="3"/>
  <c r="AC506" i="3"/>
  <c r="G506" i="3" s="1"/>
  <c r="BQ506" i="3"/>
  <c r="G502" i="3"/>
  <c r="G498" i="3"/>
  <c r="BQ504" i="3"/>
  <c r="BQ502" i="3"/>
  <c r="BL502" i="3"/>
  <c r="BQ500" i="3"/>
  <c r="BL500" i="3" s="1"/>
  <c r="BQ498" i="3"/>
  <c r="BQ496" i="3"/>
  <c r="AC494" i="3"/>
  <c r="BQ494" i="3"/>
  <c r="BL493" i="3"/>
  <c r="AZ493" i="3" s="1"/>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AC23" i="37"/>
  <c r="S27" i="37"/>
  <c r="U39" i="37"/>
  <c r="AC8" i="37"/>
  <c r="S25" i="37"/>
  <c r="AC36" i="34"/>
  <c r="AB8" i="34"/>
  <c r="AA13" i="33"/>
  <c r="AC45" i="33"/>
  <c r="AC33" i="21"/>
  <c r="S39" i="33"/>
  <c r="F43" i="33"/>
  <c r="AA43" i="33" s="1"/>
  <c r="S10" i="35"/>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AZ327" i="3" s="1"/>
  <c r="G328" i="3"/>
  <c r="BA329" i="3"/>
  <c r="G337" i="3"/>
  <c r="BL338" i="3"/>
  <c r="G339" i="3"/>
  <c r="BL340" i="3"/>
  <c r="BA342" i="3"/>
  <c r="AZ342" i="3"/>
  <c r="BA343" i="3"/>
  <c r="BL343" i="3"/>
  <c r="G344" i="3"/>
  <c r="BA345" i="3"/>
  <c r="G353" i="3"/>
  <c r="BL354" i="3"/>
  <c r="G355" i="3"/>
  <c r="BL356" i="3"/>
  <c r="G357" i="3"/>
  <c r="BL358" i="3"/>
  <c r="G359" i="3"/>
  <c r="BA360" i="3"/>
  <c r="AZ360" i="3"/>
  <c r="BA361" i="3"/>
  <c r="AZ361" i="3" s="1"/>
  <c r="BL361" i="3"/>
  <c r="G362" i="3"/>
  <c r="BA363" i="3"/>
  <c r="AZ363" i="3" s="1"/>
  <c r="G371" i="3"/>
  <c r="BL372" i="3"/>
  <c r="G373" i="3"/>
  <c r="BL374" i="3"/>
  <c r="BA376" i="3"/>
  <c r="BA377" i="3"/>
  <c r="AZ377" i="3"/>
  <c r="BL377" i="3"/>
  <c r="G378" i="3"/>
  <c r="BA379" i="3"/>
  <c r="AZ379" i="3" s="1"/>
  <c r="BA114" i="3"/>
  <c r="BL115" i="3"/>
  <c r="AZ115" i="3" s="1"/>
  <c r="G116" i="3"/>
  <c r="BA118" i="3"/>
  <c r="AZ118" i="3"/>
  <c r="BL119" i="3"/>
  <c r="AZ119" i="3" s="1"/>
  <c r="G120" i="3"/>
  <c r="BA122" i="3"/>
  <c r="AZ122" i="3" s="1"/>
  <c r="BL123" i="3"/>
  <c r="G124" i="3"/>
  <c r="BA126" i="3"/>
  <c r="AZ126" i="3"/>
  <c r="BL127" i="3"/>
  <c r="G128" i="3"/>
  <c r="BA130" i="3"/>
  <c r="AZ130" i="3"/>
  <c r="BL131" i="3"/>
  <c r="AZ131" i="3" s="1"/>
  <c r="G132" i="3"/>
  <c r="BA134" i="3"/>
  <c r="AZ134" i="3" s="1"/>
  <c r="BL135" i="3"/>
  <c r="AZ135" i="3" s="1"/>
  <c r="G136" i="3"/>
  <c r="BA138" i="3"/>
  <c r="AZ138" i="3"/>
  <c r="BL139" i="3"/>
  <c r="AZ139" i="3" s="1"/>
  <c r="G140" i="3"/>
  <c r="BA142" i="3"/>
  <c r="BL143" i="3"/>
  <c r="AZ143" i="3" s="1"/>
  <c r="G144" i="3"/>
  <c r="BA146" i="3"/>
  <c r="AZ146" i="3" s="1"/>
  <c r="BL147" i="3"/>
  <c r="AZ147" i="3" s="1"/>
  <c r="G148" i="3"/>
  <c r="BA150" i="3"/>
  <c r="BL151" i="3"/>
  <c r="AZ151" i="3" s="1"/>
  <c r="BA153" i="3"/>
  <c r="BL154" i="3"/>
  <c r="G155" i="3"/>
  <c r="BA157" i="3"/>
  <c r="AZ157" i="3"/>
  <c r="BL158" i="3"/>
  <c r="AZ158" i="3" s="1"/>
  <c r="G159" i="3"/>
  <c r="BA161" i="3"/>
  <c r="BL162" i="3"/>
  <c r="AZ162" i="3" s="1"/>
  <c r="G163" i="3"/>
  <c r="BA165" i="3"/>
  <c r="AZ165" i="3"/>
  <c r="BL166" i="3"/>
  <c r="AZ166" i="3" s="1"/>
  <c r="G167" i="3"/>
  <c r="BA169" i="3"/>
  <c r="BL170" i="3"/>
  <c r="G171" i="3"/>
  <c r="BA173" i="3"/>
  <c r="AZ173" i="3"/>
  <c r="BL174" i="3"/>
  <c r="AZ174" i="3" s="1"/>
  <c r="G175" i="3"/>
  <c r="BA178" i="3"/>
  <c r="BL179" i="3"/>
  <c r="AZ179" i="3" s="1"/>
  <c r="G180"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AZ86" i="3"/>
  <c r="AZ94" i="3"/>
  <c r="AZ102" i="3"/>
  <c r="AZ110" i="3"/>
  <c r="G491" i="3"/>
  <c r="BA298" i="3"/>
  <c r="AZ298" i="3" s="1"/>
  <c r="BA299" i="3"/>
  <c r="AZ299" i="3"/>
  <c r="BL299" i="3"/>
  <c r="G300" i="3"/>
  <c r="G303" i="3"/>
  <c r="BL304" i="3"/>
  <c r="BA306" i="3"/>
  <c r="AZ306" i="3" s="1"/>
  <c r="BA307" i="3"/>
  <c r="BL307" i="3"/>
  <c r="AZ307" i="3" s="1"/>
  <c r="G308" i="3"/>
  <c r="G319" i="3"/>
  <c r="BL320" i="3"/>
  <c r="BA322" i="3"/>
  <c r="AZ322" i="3" s="1"/>
  <c r="BA323" i="3"/>
  <c r="AZ323" i="3" s="1"/>
  <c r="BL323" i="3"/>
  <c r="G324" i="3"/>
  <c r="G327" i="3"/>
  <c r="BL328" i="3"/>
  <c r="BA330" i="3"/>
  <c r="BA331" i="3"/>
  <c r="BL331" i="3"/>
  <c r="G332" i="3"/>
  <c r="G335" i="3"/>
  <c r="BL336" i="3"/>
  <c r="BA338" i="3"/>
  <c r="AZ338" i="3" s="1"/>
  <c r="BA339" i="3"/>
  <c r="BL339" i="3"/>
  <c r="AZ339" i="3" s="1"/>
  <c r="G340" i="3"/>
  <c r="G343" i="3"/>
  <c r="BL344" i="3"/>
  <c r="BA346" i="3"/>
  <c r="BA347" i="3"/>
  <c r="AZ347" i="3" s="1"/>
  <c r="BL347" i="3"/>
  <c r="G348" i="3"/>
  <c r="G351" i="3"/>
  <c r="BL352" i="3"/>
  <c r="BA354" i="3"/>
  <c r="BA355" i="3"/>
  <c r="BL355" i="3"/>
  <c r="G356" i="3"/>
  <c r="AZ127" i="3"/>
  <c r="BA358" i="3"/>
  <c r="BA359" i="3"/>
  <c r="BL359" i="3"/>
  <c r="AZ359" i="3" s="1"/>
  <c r="G360" i="3"/>
  <c r="G361" i="3"/>
  <c r="BL362" i="3"/>
  <c r="BA364" i="3"/>
  <c r="AZ364" i="3" s="1"/>
  <c r="BA365" i="3"/>
  <c r="BL365" i="3"/>
  <c r="AZ365" i="3" s="1"/>
  <c r="G366" i="3"/>
  <c r="G369" i="3"/>
  <c r="BL370" i="3"/>
  <c r="BA372" i="3"/>
  <c r="AZ372" i="3" s="1"/>
  <c r="BA373" i="3"/>
  <c r="AZ373" i="3" s="1"/>
  <c r="BL373" i="3"/>
  <c r="G374" i="3"/>
  <c r="G377" i="3"/>
  <c r="BL378" i="3"/>
  <c r="BA380" i="3"/>
  <c r="AZ380" i="3" s="1"/>
  <c r="BA381" i="3"/>
  <c r="AZ381" i="3" s="1"/>
  <c r="BL381" i="3"/>
  <c r="G382" i="3"/>
  <c r="G385" i="3"/>
  <c r="AZ154" i="3"/>
  <c r="AZ170" i="3"/>
  <c r="AZ183" i="3"/>
  <c r="AZ187" i="3"/>
  <c r="AZ191" i="3"/>
  <c r="AZ195" i="3"/>
  <c r="AZ199" i="3"/>
  <c r="AZ203" i="3"/>
  <c r="G523" i="3"/>
  <c r="BL297" i="3"/>
  <c r="G298" i="3"/>
  <c r="BA300" i="3"/>
  <c r="BL301" i="3"/>
  <c r="AZ301" i="3"/>
  <c r="G302" i="3"/>
  <c r="BA304" i="3"/>
  <c r="BL305" i="3"/>
  <c r="G306" i="3"/>
  <c r="BA308" i="3"/>
  <c r="BL309" i="3"/>
  <c r="G310" i="3"/>
  <c r="BA310" i="3"/>
  <c r="BL311" i="3"/>
  <c r="AZ311" i="3" s="1"/>
  <c r="G312" i="3"/>
  <c r="BA312" i="3"/>
  <c r="AZ312" i="3" s="1"/>
  <c r="BL313" i="3"/>
  <c r="G314" i="3"/>
  <c r="BA314" i="3"/>
  <c r="AZ314" i="3" s="1"/>
  <c r="BL315" i="3"/>
  <c r="G316" i="3"/>
  <c r="BA316" i="3"/>
  <c r="AZ316" i="3" s="1"/>
  <c r="BL317" i="3"/>
  <c r="G318" i="3"/>
  <c r="BA320" i="3"/>
  <c r="AZ320" i="3" s="1"/>
  <c r="BL321" i="3"/>
  <c r="AZ321" i="3" s="1"/>
  <c r="G322" i="3"/>
  <c r="BA324" i="3"/>
  <c r="BL325" i="3"/>
  <c r="AZ325" i="3" s="1"/>
  <c r="G326" i="3"/>
  <c r="BA328" i="3"/>
  <c r="AZ328" i="3" s="1"/>
  <c r="BL329" i="3"/>
  <c r="G330" i="3"/>
  <c r="BA332" i="3"/>
  <c r="AZ332" i="3" s="1"/>
  <c r="BL333" i="3"/>
  <c r="G334" i="3"/>
  <c r="BA336" i="3"/>
  <c r="AZ336" i="3" s="1"/>
  <c r="BL337" i="3"/>
  <c r="G338" i="3"/>
  <c r="BA340" i="3"/>
  <c r="BL341" i="3"/>
  <c r="G342" i="3"/>
  <c r="BA344" i="3"/>
  <c r="AZ344" i="3" s="1"/>
  <c r="BL345" i="3"/>
  <c r="G346" i="3"/>
  <c r="BA348" i="3"/>
  <c r="AZ348" i="3" s="1"/>
  <c r="BL349" i="3"/>
  <c r="AZ349" i="3" s="1"/>
  <c r="G350" i="3"/>
  <c r="BA352" i="3"/>
  <c r="BL353" i="3"/>
  <c r="G354" i="3"/>
  <c r="BA356" i="3"/>
  <c r="BL357" i="3"/>
  <c r="G358" i="3"/>
  <c r="BA362" i="3"/>
  <c r="AZ362" i="3" s="1"/>
  <c r="BL363" i="3"/>
  <c r="G364" i="3"/>
  <c r="BA366" i="3"/>
  <c r="BL367" i="3"/>
  <c r="AZ367" i="3" s="1"/>
  <c r="AZ213" i="3"/>
  <c r="AZ229" i="3"/>
  <c r="AZ309" i="3"/>
  <c r="AZ341" i="3"/>
  <c r="G368" i="3"/>
  <c r="BA370" i="3"/>
  <c r="AZ370" i="3" s="1"/>
  <c r="BL371" i="3"/>
  <c r="AZ371" i="3" s="1"/>
  <c r="G372" i="3"/>
  <c r="BA374" i="3"/>
  <c r="AZ374" i="3"/>
  <c r="BL375" i="3"/>
  <c r="G376" i="3"/>
  <c r="BA378" i="3"/>
  <c r="AZ378" i="3"/>
  <c r="BL379" i="3"/>
  <c r="G380" i="3"/>
  <c r="BA382" i="3"/>
  <c r="AZ382" i="3" s="1"/>
  <c r="BL383" i="3"/>
  <c r="G384" i="3"/>
  <c r="AZ249" i="3"/>
  <c r="AZ261" i="3"/>
  <c r="AZ375" i="3"/>
  <c r="AZ278" i="3"/>
  <c r="AZ335" i="3"/>
  <c r="AZ385" i="3"/>
  <c r="AZ418" i="3"/>
  <c r="AZ434" i="3"/>
  <c r="AZ450" i="3"/>
  <c r="AZ463"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AZ300" i="3"/>
  <c r="H11" i="37"/>
  <c r="AB11" i="37" s="1"/>
  <c r="W37" i="37"/>
  <c r="AA30" i="33"/>
  <c r="AA36" i="37"/>
  <c r="S42" i="33"/>
  <c r="U32" i="33"/>
  <c r="AZ488" i="3"/>
  <c r="AC29" i="33"/>
  <c r="AA45" i="33"/>
  <c r="AC11" i="36"/>
  <c r="AC10" i="36"/>
  <c r="AB45" i="34"/>
  <c r="AB35" i="35"/>
  <c r="S25" i="35"/>
  <c r="W44" i="33"/>
  <c r="AC30" i="33"/>
  <c r="W30" i="33"/>
  <c r="AC29" i="37"/>
  <c r="W32" i="36"/>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J32" i="21"/>
  <c r="AC32" i="21" s="1"/>
  <c r="H17" i="21"/>
  <c r="AB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AZ568" i="3" s="1"/>
  <c r="BA568" i="3"/>
  <c r="BL567" i="3"/>
  <c r="BA567" i="3"/>
  <c r="AZ567" i="3" s="1"/>
  <c r="BL566" i="3"/>
  <c r="AZ566" i="3" s="1"/>
  <c r="BL565" i="3"/>
  <c r="AZ565" i="3" s="1"/>
  <c r="BA564" i="3"/>
  <c r="BA563" i="3"/>
  <c r="AZ563" i="3" s="1"/>
  <c r="BL554" i="3"/>
  <c r="BA553" i="3"/>
  <c r="AZ553" i="3" s="1"/>
  <c r="BA552" i="3"/>
  <c r="AZ552" i="3" s="1"/>
  <c r="BL549" i="3"/>
  <c r="AZ549" i="3" s="1"/>
  <c r="BA549" i="3"/>
  <c r="BL548" i="3"/>
  <c r="BA548" i="3"/>
  <c r="BL547" i="3"/>
  <c r="BA547" i="3"/>
  <c r="BL539" i="3"/>
  <c r="BA539" i="3"/>
  <c r="AZ539" i="3"/>
  <c r="BA538" i="3"/>
  <c r="BL537" i="3"/>
  <c r="BA537" i="3"/>
  <c r="AZ537" i="3" s="1"/>
  <c r="BL536" i="3"/>
  <c r="AZ536" i="3"/>
  <c r="BA535" i="3"/>
  <c r="AZ535" i="3"/>
  <c r="BA534" i="3"/>
  <c r="BA533" i="3"/>
  <c r="AZ533" i="3"/>
  <c r="BL531" i="3"/>
  <c r="AZ531" i="3" s="1"/>
  <c r="BL530" i="3"/>
  <c r="BA530" i="3"/>
  <c r="AZ530" i="3" s="1"/>
  <c r="BL529" i="3"/>
  <c r="BA529" i="3"/>
  <c r="BL528" i="3"/>
  <c r="AZ528" i="3"/>
  <c r="BA527" i="3"/>
  <c r="BA526" i="3"/>
  <c r="BA525" i="3"/>
  <c r="AZ525" i="3"/>
  <c r="BL523" i="3"/>
  <c r="BA523" i="3"/>
  <c r="AZ523" i="3" s="1"/>
  <c r="BL522" i="3"/>
  <c r="BA522" i="3"/>
  <c r="AZ522" i="3" s="1"/>
  <c r="BL521" i="3"/>
  <c r="AZ521" i="3"/>
  <c r="BA519" i="3"/>
  <c r="AZ519" i="3" s="1"/>
  <c r="BL518" i="3"/>
  <c r="BA518" i="3"/>
  <c r="AZ518" i="3" s="1"/>
  <c r="BL517" i="3"/>
  <c r="AZ517" i="3" s="1"/>
  <c r="BA517" i="3"/>
  <c r="BL515" i="3"/>
  <c r="BA515" i="3"/>
  <c r="BA514" i="3"/>
  <c r="BL513" i="3"/>
  <c r="BA513" i="3"/>
  <c r="AZ513" i="3" s="1"/>
  <c r="BL512" i="3"/>
  <c r="AZ512" i="3" s="1"/>
  <c r="BA511" i="3"/>
  <c r="AZ511" i="3" s="1"/>
  <c r="BA510" i="3"/>
  <c r="BL509" i="3"/>
  <c r="AZ509" i="3" s="1"/>
  <c r="BL507" i="3"/>
  <c r="AZ507" i="3" s="1"/>
  <c r="BA507" i="3"/>
  <c r="BL506" i="3"/>
  <c r="BA506" i="3"/>
  <c r="AZ506" i="3" s="1"/>
  <c r="BL505" i="3"/>
  <c r="BL504" i="3"/>
  <c r="BA504" i="3"/>
  <c r="AZ504" i="3" s="1"/>
  <c r="BA503" i="3"/>
  <c r="AZ503" i="3" s="1"/>
  <c r="BA500" i="3"/>
  <c r="BL499" i="3"/>
  <c r="BA499" i="3"/>
  <c r="AZ499" i="3"/>
  <c r="BL498" i="3"/>
  <c r="AZ498" i="3"/>
  <c r="BL497" i="3"/>
  <c r="BA497" i="3"/>
  <c r="AZ497" i="3" s="1"/>
  <c r="BL496" i="3"/>
  <c r="BA496" i="3"/>
  <c r="AZ496" i="3" s="1"/>
  <c r="BA495" i="3"/>
  <c r="AZ495" i="3" s="1"/>
  <c r="BL494" i="3"/>
  <c r="AZ494" i="3" s="1"/>
  <c r="BA494" i="3"/>
  <c r="G494" i="3"/>
  <c r="BA491" i="3"/>
  <c r="AZ491" i="3" s="1"/>
  <c r="BL490" i="3"/>
  <c r="BA490" i="3"/>
  <c r="AZ490" i="3"/>
  <c r="BL489" i="3"/>
  <c r="BA489" i="3"/>
  <c r="BL487" i="3"/>
  <c r="AZ487" i="3" s="1"/>
  <c r="BL486" i="3"/>
  <c r="BA486" i="3"/>
  <c r="BA485" i="3"/>
  <c r="AZ485" i="3" s="1"/>
  <c r="BA483" i="3"/>
  <c r="AZ483" i="3" s="1"/>
  <c r="BA482" i="3"/>
  <c r="AZ482" i="3" s="1"/>
  <c r="BL481" i="3"/>
  <c r="BJ5" i="3"/>
  <c r="BA481" i="3"/>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B33"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B41" i="1"/>
  <c r="F66" i="9" s="1"/>
  <c r="P72" i="9" s="1"/>
  <c r="J42" i="40"/>
  <c r="AC42" i="40" s="1"/>
  <c r="J40" i="40"/>
  <c r="AC40" i="40" s="1"/>
  <c r="J34" i="40"/>
  <c r="AC34" i="40" s="1"/>
  <c r="H16" i="40"/>
  <c r="AB16" i="40" s="1"/>
  <c r="H14" i="40"/>
  <c r="U14" i="40" s="1"/>
  <c r="F32" i="40"/>
  <c r="AA32" i="40" s="1"/>
  <c r="AZ436" i="3"/>
  <c r="M1" i="46"/>
  <c r="M6" i="46"/>
  <c r="M10" i="46"/>
  <c r="N2" i="46"/>
  <c r="N5" i="46"/>
  <c r="F58" i="46" s="1"/>
  <c r="F47" i="46"/>
  <c r="H49" i="46" s="1"/>
  <c r="N7" i="46"/>
  <c r="AZ456" i="3"/>
  <c r="AZ477" i="3"/>
  <c r="AZ212" i="3"/>
  <c r="AZ228" i="3"/>
  <c r="AZ231" i="3"/>
  <c r="AZ260" i="3"/>
  <c r="AZ124" i="3"/>
  <c r="AZ152" i="3"/>
  <c r="M7" i="46"/>
  <c r="M11" i="46"/>
  <c r="N3" i="46"/>
  <c r="N6" i="46"/>
  <c r="N10" i="46"/>
  <c r="AZ164" i="3"/>
  <c r="AZ32" i="3"/>
  <c r="AZ48" i="3"/>
  <c r="AZ71" i="3"/>
  <c r="H47" i="46"/>
  <c r="J13" i="40"/>
  <c r="W13" i="40" s="1"/>
  <c r="F34" i="44"/>
  <c r="F27" i="43"/>
  <c r="F71" i="9"/>
  <c r="F72" i="9"/>
  <c r="AC14" i="40"/>
  <c r="S33" i="40"/>
  <c r="S47" i="39"/>
  <c r="AB25" i="39"/>
  <c r="AC41" i="40"/>
  <c r="W41" i="40"/>
  <c r="J23" i="40"/>
  <c r="AC23" i="40" s="1"/>
  <c r="F23" i="40"/>
  <c r="S23" i="40" s="1"/>
  <c r="W15" i="40"/>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515" i="3"/>
  <c r="AZ529" i="3"/>
  <c r="AZ547" i="3"/>
  <c r="AZ548" i="3"/>
  <c r="AB37" i="39"/>
  <c r="AA29" i="35"/>
  <c r="U39" i="39"/>
  <c r="J29" i="39"/>
  <c r="AC29" i="39" s="1"/>
  <c r="U21" i="39"/>
  <c r="AB17" i="39"/>
  <c r="AA11" i="36"/>
  <c r="AA14" i="35"/>
  <c r="S14" i="35"/>
  <c r="G99" i="37"/>
  <c r="F33" i="37" s="1"/>
  <c r="AB19" i="39"/>
  <c r="U19" i="39"/>
  <c r="U46" i="34"/>
  <c r="AC30" i="34"/>
  <c r="AA14" i="34"/>
  <c r="W12" i="34"/>
  <c r="U29" i="33"/>
  <c r="AC13" i="33"/>
  <c r="AA11" i="34"/>
  <c r="W32" i="33"/>
  <c r="H15" i="33"/>
  <c r="U15" i="33" s="1"/>
  <c r="AA11" i="33"/>
  <c r="W34" i="40"/>
  <c r="AB42" i="40"/>
  <c r="W32" i="40"/>
  <c r="H25" i="40"/>
  <c r="AB25" i="40" s="1"/>
  <c r="W15" i="39"/>
  <c r="J37" i="34"/>
  <c r="AC37" i="34" s="1"/>
  <c r="J36" i="33"/>
  <c r="W36" i="33" s="1"/>
  <c r="S41" i="40"/>
  <c r="AB23" i="40"/>
  <c r="U27" i="39"/>
  <c r="H23" i="39"/>
  <c r="AB23" i="39" s="1"/>
  <c r="J23" i="39"/>
  <c r="AC23" i="39" s="1"/>
  <c r="F97" i="39"/>
  <c r="G97" i="39" s="1"/>
  <c r="S16" i="39"/>
  <c r="AA41" i="33"/>
  <c r="AA34" i="33"/>
  <c r="J34" i="33"/>
  <c r="AC34" i="33" s="1"/>
  <c r="U30" i="40"/>
  <c r="AA37" i="39"/>
  <c r="W29" i="35"/>
  <c r="W39" i="39"/>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L47" i="68"/>
  <c r="E2" i="65"/>
  <c r="H113" i="21" l="1"/>
  <c r="F37" i="21"/>
  <c r="S37" i="21" s="1"/>
  <c r="H37" i="21"/>
  <c r="U37" i="21" s="1"/>
  <c r="J37" i="21"/>
  <c r="W37" i="21" s="1"/>
  <c r="G110" i="21"/>
  <c r="H110" i="21" s="1"/>
  <c r="I110" i="21" s="1"/>
  <c r="J110" i="21" s="1"/>
  <c r="K110" i="21" s="1"/>
  <c r="L110" i="21" s="1"/>
  <c r="M110" i="21" s="1"/>
  <c r="J36" i="21"/>
  <c r="W36" i="21" s="1"/>
  <c r="H36" i="21"/>
  <c r="U36" i="21" s="1"/>
  <c r="F36" i="21"/>
  <c r="S36" i="21" s="1"/>
  <c r="F17" i="21"/>
  <c r="S17" i="21" s="1"/>
  <c r="J17" i="21"/>
  <c r="AC17" i="21" s="1"/>
  <c r="AB8" i="21"/>
  <c r="U43" i="21"/>
  <c r="AA43" i="21"/>
  <c r="AA40" i="21"/>
  <c r="AC40" i="21"/>
  <c r="S19" i="21"/>
  <c r="U19" i="21"/>
  <c r="U17" i="21"/>
  <c r="S8" i="21"/>
  <c r="U42" i="21"/>
  <c r="U39" i="21"/>
  <c r="U38" i="21"/>
  <c r="AA38" i="21"/>
  <c r="S35" i="21"/>
  <c r="S34" i="21"/>
  <c r="AB34" i="21"/>
  <c r="S32" i="21"/>
  <c r="U9" i="21"/>
  <c r="H10" i="21"/>
  <c r="U10" i="21" s="1"/>
  <c r="J10" i="21"/>
  <c r="AC10" i="21" s="1"/>
  <c r="S10" i="21"/>
  <c r="W9" i="21"/>
  <c r="G13" i="3"/>
  <c r="AC5" i="3"/>
  <c r="A2" i="55"/>
  <c r="B55" i="63" s="1"/>
  <c r="A11" i="55"/>
  <c r="B62" i="63" s="1"/>
  <c r="AZ304" i="3"/>
  <c r="AZ354" i="3"/>
  <c r="AZ343" i="3"/>
  <c r="U13" i="21"/>
  <c r="AB13" i="21"/>
  <c r="BA570" i="3"/>
  <c r="AZ570" i="3" s="1"/>
  <c r="BG5" i="3"/>
  <c r="F12" i="21"/>
  <c r="J12" i="21"/>
  <c r="H28" i="21"/>
  <c r="J28" i="21"/>
  <c r="AC28" i="21" s="1"/>
  <c r="F44" i="21"/>
  <c r="AA44" i="21" s="1"/>
  <c r="J44" i="21"/>
  <c r="AC44" i="21" s="1"/>
  <c r="W13" i="36"/>
  <c r="AC13" i="36"/>
  <c r="J24" i="36"/>
  <c r="F24" i="36"/>
  <c r="BL527" i="3"/>
  <c r="AZ527" i="3" s="1"/>
  <c r="AB34" i="40"/>
  <c r="AZ526" i="3"/>
  <c r="AZ534" i="3"/>
  <c r="AZ502" i="3"/>
  <c r="U14" i="21"/>
  <c r="AB14" i="21"/>
  <c r="AC8" i="21"/>
  <c r="W8" i="21"/>
  <c r="AA38" i="33"/>
  <c r="S38" i="33"/>
  <c r="AC8" i="34"/>
  <c r="W8" i="34"/>
  <c r="J9" i="34"/>
  <c r="H9" i="34"/>
  <c r="F9" i="34"/>
  <c r="AA9" i="34" s="1"/>
  <c r="S28" i="34"/>
  <c r="AA28" i="34"/>
  <c r="U40" i="37"/>
  <c r="AB40" i="37"/>
  <c r="U41" i="21"/>
  <c r="AB41" i="21"/>
  <c r="BL541" i="3"/>
  <c r="BA541" i="3"/>
  <c r="BA540" i="3"/>
  <c r="AZ540" i="3" s="1"/>
  <c r="AA15" i="34"/>
  <c r="AB37" i="34"/>
  <c r="AC47" i="39"/>
  <c r="W40" i="40"/>
  <c r="AZ481" i="3"/>
  <c r="AZ510" i="3"/>
  <c r="AA36" i="35"/>
  <c r="AZ352" i="3"/>
  <c r="AZ331" i="3"/>
  <c r="AB44" i="33"/>
  <c r="AC28" i="34"/>
  <c r="AZ20" i="3"/>
  <c r="AZ514" i="3"/>
  <c r="AZ546" i="3"/>
  <c r="AZ550" i="3"/>
  <c r="AZ551" i="3"/>
  <c r="BL572" i="3"/>
  <c r="AZ572" i="3" s="1"/>
  <c r="BI5" i="3"/>
  <c r="BA562" i="3"/>
  <c r="BA561" i="3"/>
  <c r="AZ561" i="3" s="1"/>
  <c r="BL559" i="3"/>
  <c r="AZ559" i="3" s="1"/>
  <c r="BL557" i="3"/>
  <c r="AZ557" i="3" s="1"/>
  <c r="BA555" i="3"/>
  <c r="AZ555" i="3" s="1"/>
  <c r="BA554" i="3"/>
  <c r="AZ554" i="3" s="1"/>
  <c r="BA508" i="3"/>
  <c r="AZ508" i="3" s="1"/>
  <c r="BA505" i="3"/>
  <c r="U34" i="39"/>
  <c r="U47" i="39"/>
  <c r="AC16" i="40"/>
  <c r="U17" i="34"/>
  <c r="U16" i="40"/>
  <c r="AB33" i="36"/>
  <c r="AB16" i="39"/>
  <c r="U41" i="40"/>
  <c r="AZ489" i="3"/>
  <c r="AZ500" i="3"/>
  <c r="AZ505" i="3"/>
  <c r="AZ571" i="3"/>
  <c r="AC14" i="37"/>
  <c r="AB17" i="37"/>
  <c r="AB15" i="37"/>
  <c r="AZ356" i="3"/>
  <c r="AZ345" i="3"/>
  <c r="AZ340" i="3"/>
  <c r="AZ329" i="3"/>
  <c r="AZ324" i="3"/>
  <c r="AZ305" i="3"/>
  <c r="AZ358" i="3"/>
  <c r="AZ355" i="3"/>
  <c r="AC37" i="33"/>
  <c r="AC41" i="34"/>
  <c r="AZ562" i="3"/>
  <c r="AZ542" i="3"/>
  <c r="AZ556" i="3"/>
  <c r="AA27" i="33"/>
  <c r="W31" i="34"/>
  <c r="U46" i="21"/>
  <c r="U30" i="33"/>
  <c r="AA38" i="37"/>
  <c r="F40" i="37"/>
  <c r="AA40" i="37" s="1"/>
  <c r="G572" i="3"/>
  <c r="AB9" i="33"/>
  <c r="U9" i="33"/>
  <c r="F9" i="33"/>
  <c r="AA9" i="33" s="1"/>
  <c r="J9" i="33"/>
  <c r="H34" i="35"/>
  <c r="H26" i="37"/>
  <c r="AB26" i="37" s="1"/>
  <c r="F26" i="37"/>
  <c r="AA26" i="37" s="1"/>
  <c r="BA524" i="3"/>
  <c r="AZ524" i="3" s="1"/>
  <c r="BF5" i="3"/>
  <c r="F12" i="33"/>
  <c r="F23" i="36"/>
  <c r="AA23" i="36" s="1"/>
  <c r="G533" i="3"/>
  <c r="G527" i="3"/>
  <c r="G503" i="3"/>
  <c r="C92" i="9"/>
  <c r="AZ395" i="3"/>
  <c r="AZ405" i="3"/>
  <c r="AZ411" i="3"/>
  <c r="K145" i="21"/>
  <c r="BL393" i="3"/>
  <c r="AZ393" i="3" s="1"/>
  <c r="BA397" i="3"/>
  <c r="AZ397" i="3" s="1"/>
  <c r="BA398" i="3"/>
  <c r="AZ398" i="3" s="1"/>
  <c r="BA399" i="3"/>
  <c r="AZ399" i="3" s="1"/>
  <c r="BL401" i="3"/>
  <c r="AZ401" i="3" s="1"/>
  <c r="BL409" i="3"/>
  <c r="AZ409" i="3" s="1"/>
  <c r="BA413" i="3"/>
  <c r="AZ413" i="3" s="1"/>
  <c r="BA414" i="3"/>
  <c r="AZ414" i="3" s="1"/>
  <c r="AZ417" i="3"/>
  <c r="BA420" i="3"/>
  <c r="BL430" i="3"/>
  <c r="AC35" i="21"/>
  <c r="AB27" i="35"/>
  <c r="U38" i="33"/>
  <c r="W38" i="33"/>
  <c r="J12" i="35"/>
  <c r="G568" i="3"/>
  <c r="G541" i="3"/>
  <c r="G519" i="3"/>
  <c r="G509" i="3"/>
  <c r="G495" i="3"/>
  <c r="G486" i="3"/>
  <c r="BL389" i="3"/>
  <c r="BA392" i="3"/>
  <c r="AZ392" i="3" s="1"/>
  <c r="BL394" i="3"/>
  <c r="AZ394" i="3" s="1"/>
  <c r="BL404" i="3"/>
  <c r="BA408" i="3"/>
  <c r="AZ408" i="3" s="1"/>
  <c r="BL410" i="3"/>
  <c r="AZ410" i="3" s="1"/>
  <c r="AZ432" i="3"/>
  <c r="AZ473" i="3"/>
  <c r="BA334" i="3"/>
  <c r="BA357" i="3"/>
  <c r="AZ357" i="3" s="1"/>
  <c r="BL376" i="3"/>
  <c r="AZ376" i="3" s="1"/>
  <c r="BL390" i="3"/>
  <c r="AZ390" i="3" s="1"/>
  <c r="G396" i="3"/>
  <c r="BL396" i="3"/>
  <c r="AZ396" i="3" s="1"/>
  <c r="BA402" i="3"/>
  <c r="AZ402" i="3" s="1"/>
  <c r="BA403" i="3"/>
  <c r="AZ403" i="3" s="1"/>
  <c r="G406" i="3"/>
  <c r="BL406" i="3"/>
  <c r="AZ406" i="3" s="1"/>
  <c r="G412" i="3"/>
  <c r="BL412" i="3"/>
  <c r="BL416" i="3"/>
  <c r="BL420" i="3"/>
  <c r="G421" i="3"/>
  <c r="G422" i="3"/>
  <c r="BL422" i="3"/>
  <c r="AZ422" i="3" s="1"/>
  <c r="BL423" i="3"/>
  <c r="AZ423" i="3" s="1"/>
  <c r="G426" i="3"/>
  <c r="G427" i="3"/>
  <c r="BA428" i="3"/>
  <c r="AZ428" i="3" s="1"/>
  <c r="BA430" i="3"/>
  <c r="AZ430" i="3" s="1"/>
  <c r="BA431" i="3"/>
  <c r="BL433" i="3"/>
  <c r="AZ433" i="3" s="1"/>
  <c r="BA440" i="3"/>
  <c r="AZ462" i="3"/>
  <c r="BA468" i="3"/>
  <c r="AZ468" i="3" s="1"/>
  <c r="BL471" i="3"/>
  <c r="AZ472" i="3"/>
  <c r="BL474" i="3"/>
  <c r="AZ474" i="3" s="1"/>
  <c r="BA297" i="3"/>
  <c r="AZ297" i="3" s="1"/>
  <c r="BL308" i="3"/>
  <c r="AZ308" i="3" s="1"/>
  <c r="BA315" i="3"/>
  <c r="AZ315" i="3" s="1"/>
  <c r="BL330" i="3"/>
  <c r="AZ330" i="3" s="1"/>
  <c r="G345" i="3"/>
  <c r="BL366" i="3"/>
  <c r="AZ366" i="3" s="1"/>
  <c r="G375" i="3"/>
  <c r="BL440" i="3"/>
  <c r="BA443" i="3"/>
  <c r="AZ443" i="3" s="1"/>
  <c r="BA444" i="3"/>
  <c r="AZ444" i="3" s="1"/>
  <c r="BL446" i="3"/>
  <c r="AZ446" i="3" s="1"/>
  <c r="BL453" i="3"/>
  <c r="AZ453" i="3" s="1"/>
  <c r="BL460" i="3"/>
  <c r="BA465" i="3"/>
  <c r="AZ465" i="3" s="1"/>
  <c r="BA466" i="3"/>
  <c r="AZ466" i="3" s="1"/>
  <c r="BA467" i="3"/>
  <c r="AZ467" i="3" s="1"/>
  <c r="BL469" i="3"/>
  <c r="AZ469" i="3" s="1"/>
  <c r="BA476" i="3"/>
  <c r="AZ476" i="3" s="1"/>
  <c r="BL310" i="3"/>
  <c r="AZ310" i="3" s="1"/>
  <c r="BA319" i="3"/>
  <c r="AZ319" i="3" s="1"/>
  <c r="BA337" i="3"/>
  <c r="AZ337" i="3" s="1"/>
  <c r="BL346" i="3"/>
  <c r="AZ346" i="3" s="1"/>
  <c r="BL351" i="3"/>
  <c r="AZ351" i="3" s="1"/>
  <c r="G363" i="3"/>
  <c r="BL388" i="3"/>
  <c r="BA206" i="3"/>
  <c r="AZ206" i="3" s="1"/>
  <c r="BL210" i="3"/>
  <c r="BL215" i="3"/>
  <c r="AZ215" i="3" s="1"/>
  <c r="BA415" i="3"/>
  <c r="AZ415" i="3" s="1"/>
  <c r="G418" i="3"/>
  <c r="G419" i="3"/>
  <c r="BL419" i="3"/>
  <c r="G425" i="3"/>
  <c r="BL425" i="3"/>
  <c r="BL431" i="3"/>
  <c r="BA437" i="3"/>
  <c r="AZ437" i="3" s="1"/>
  <c r="BA438" i="3"/>
  <c r="AZ438" i="3" s="1"/>
  <c r="BA439" i="3"/>
  <c r="AZ439" i="3" s="1"/>
  <c r="BL441" i="3"/>
  <c r="AZ441" i="3" s="1"/>
  <c r="G448" i="3"/>
  <c r="BL448" i="3"/>
  <c r="BA451" i="3"/>
  <c r="AZ451" i="3" s="1"/>
  <c r="BA452" i="3"/>
  <c r="AZ452" i="3" s="1"/>
  <c r="BL454" i="3"/>
  <c r="AZ454" i="3" s="1"/>
  <c r="BA457" i="3"/>
  <c r="AZ457" i="3" s="1"/>
  <c r="BA458" i="3"/>
  <c r="AZ458" i="3" s="1"/>
  <c r="BA459" i="3"/>
  <c r="AZ459" i="3" s="1"/>
  <c r="BL461" i="3"/>
  <c r="AZ461" i="3" s="1"/>
  <c r="G471" i="3"/>
  <c r="G472" i="3"/>
  <c r="BL472" i="3"/>
  <c r="BA478" i="3"/>
  <c r="AZ478" i="3" s="1"/>
  <c r="BA479" i="3"/>
  <c r="AZ479" i="3" s="1"/>
  <c r="BA480" i="3"/>
  <c r="AZ480" i="3" s="1"/>
  <c r="G313" i="3"/>
  <c r="BA317" i="3"/>
  <c r="AZ317" i="3" s="1"/>
  <c r="G331" i="3"/>
  <c r="BA333" i="3"/>
  <c r="AZ333" i="3" s="1"/>
  <c r="BA350" i="3"/>
  <c r="AZ350" i="3" s="1"/>
  <c r="BA353" i="3"/>
  <c r="AZ353" i="3" s="1"/>
  <c r="BL368" i="3"/>
  <c r="G370" i="3"/>
  <c r="BL384" i="3"/>
  <c r="G386" i="3"/>
  <c r="BL386" i="3"/>
  <c r="BL387" i="3"/>
  <c r="BL209" i="3"/>
  <c r="BL222" i="3"/>
  <c r="BA234" i="3"/>
  <c r="AZ234" i="3" s="1"/>
  <c r="BL421" i="3"/>
  <c r="AZ421" i="3" s="1"/>
  <c r="BA424" i="3"/>
  <c r="AZ424" i="3" s="1"/>
  <c r="BL426" i="3"/>
  <c r="AZ426" i="3" s="1"/>
  <c r="G433" i="3"/>
  <c r="G434" i="3"/>
  <c r="G435" i="3"/>
  <c r="BL435" i="3"/>
  <c r="AZ435" i="3" s="1"/>
  <c r="BL442" i="3"/>
  <c r="AZ442" i="3" s="1"/>
  <c r="BA447" i="3"/>
  <c r="AZ447" i="3" s="1"/>
  <c r="BL449" i="3"/>
  <c r="AZ449" i="3" s="1"/>
  <c r="BL455" i="3"/>
  <c r="AZ455" i="3" s="1"/>
  <c r="G463" i="3"/>
  <c r="G464" i="3"/>
  <c r="BL464" i="3"/>
  <c r="BA470" i="3"/>
  <c r="AZ470" i="3" s="1"/>
  <c r="BA471" i="3"/>
  <c r="AZ471" i="3" s="1"/>
  <c r="G474" i="3"/>
  <c r="G475" i="3"/>
  <c r="BL475" i="3"/>
  <c r="AZ475" i="3" s="1"/>
  <c r="G309" i="3"/>
  <c r="BA313" i="3"/>
  <c r="AZ313" i="3" s="1"/>
  <c r="G329" i="3"/>
  <c r="G367" i="3"/>
  <c r="BA369" i="3"/>
  <c r="AZ369" i="3" s="1"/>
  <c r="AZ211" i="3"/>
  <c r="BA216" i="3"/>
  <c r="AZ216" i="3" s="1"/>
  <c r="BA217" i="3"/>
  <c r="AZ217" i="3" s="1"/>
  <c r="BL221" i="3"/>
  <c r="BL227" i="3"/>
  <c r="AZ227" i="3" s="1"/>
  <c r="AZ248" i="3"/>
  <c r="AZ259" i="3"/>
  <c r="AZ277" i="3"/>
  <c r="AZ125" i="3"/>
  <c r="AZ128" i="3"/>
  <c r="AZ129" i="3"/>
  <c r="AZ132" i="3"/>
  <c r="AZ133" i="3"/>
  <c r="AZ136" i="3"/>
  <c r="BA137" i="3"/>
  <c r="AZ137" i="3" s="1"/>
  <c r="G142" i="3"/>
  <c r="G145" i="3"/>
  <c r="G147" i="3"/>
  <c r="G150" i="3"/>
  <c r="G152" i="3"/>
  <c r="G153" i="3"/>
  <c r="G156" i="3"/>
  <c r="BL156" i="3"/>
  <c r="BL159" i="3"/>
  <c r="BL161" i="3"/>
  <c r="AZ161" i="3" s="1"/>
  <c r="BA208" i="3"/>
  <c r="AZ208" i="3" s="1"/>
  <c r="BA209" i="3"/>
  <c r="AZ209" i="3" s="1"/>
  <c r="G212" i="3"/>
  <c r="G213" i="3"/>
  <c r="G214" i="3"/>
  <c r="BL214" i="3"/>
  <c r="AZ214" i="3" s="1"/>
  <c r="BA219" i="3"/>
  <c r="AZ219" i="3" s="1"/>
  <c r="BA220" i="3"/>
  <c r="AZ220" i="3" s="1"/>
  <c r="BA221" i="3"/>
  <c r="AZ221" i="3" s="1"/>
  <c r="BL223" i="3"/>
  <c r="AZ223" i="3" s="1"/>
  <c r="BL234" i="3"/>
  <c r="BA240" i="3"/>
  <c r="AZ240" i="3" s="1"/>
  <c r="BA241" i="3"/>
  <c r="AZ241" i="3" s="1"/>
  <c r="BL246" i="3"/>
  <c r="AZ246" i="3" s="1"/>
  <c r="BA251" i="3"/>
  <c r="AZ251" i="3" s="1"/>
  <c r="BA252" i="3"/>
  <c r="AZ252" i="3" s="1"/>
  <c r="BA253" i="3"/>
  <c r="AZ253" i="3" s="1"/>
  <c r="BA254" i="3"/>
  <c r="AZ254" i="3" s="1"/>
  <c r="BL255" i="3"/>
  <c r="AZ255" i="3" s="1"/>
  <c r="BA263" i="3"/>
  <c r="AZ263" i="3" s="1"/>
  <c r="BL265" i="3"/>
  <c r="AZ265" i="3" s="1"/>
  <c r="BA269" i="3"/>
  <c r="AZ269" i="3" s="1"/>
  <c r="BA270" i="3"/>
  <c r="AZ270" i="3" s="1"/>
  <c r="BL275" i="3"/>
  <c r="BA280" i="3"/>
  <c r="AZ280" i="3" s="1"/>
  <c r="BA281" i="3"/>
  <c r="AZ281" i="3" s="1"/>
  <c r="BA282" i="3"/>
  <c r="AZ282" i="3" s="1"/>
  <c r="BL284" i="3"/>
  <c r="AZ284" i="3" s="1"/>
  <c r="BA291" i="3"/>
  <c r="AZ291" i="3" s="1"/>
  <c r="BA292" i="3"/>
  <c r="AZ292" i="3" s="1"/>
  <c r="BA293" i="3"/>
  <c r="AZ293" i="3" s="1"/>
  <c r="BL114" i="3"/>
  <c r="AZ114" i="3" s="1"/>
  <c r="BA123" i="3"/>
  <c r="AZ123" i="3" s="1"/>
  <c r="AZ141" i="3"/>
  <c r="AZ144" i="3"/>
  <c r="AZ149" i="3"/>
  <c r="BA155" i="3"/>
  <c r="AZ155" i="3" s="1"/>
  <c r="G158" i="3"/>
  <c r="G161" i="3"/>
  <c r="G164" i="3"/>
  <c r="G165" i="3"/>
  <c r="BL167" i="3"/>
  <c r="AZ167" i="3" s="1"/>
  <c r="BL169" i="3"/>
  <c r="AZ169" i="3" s="1"/>
  <c r="AZ190" i="3"/>
  <c r="G225" i="3"/>
  <c r="G226" i="3"/>
  <c r="BL226" i="3"/>
  <c r="BA232" i="3"/>
  <c r="AZ232" i="3" s="1"/>
  <c r="BA233" i="3"/>
  <c r="AZ233" i="3" s="1"/>
  <c r="G236" i="3"/>
  <c r="G237" i="3"/>
  <c r="G238" i="3"/>
  <c r="BL238" i="3"/>
  <c r="BA243" i="3"/>
  <c r="AZ243" i="3" s="1"/>
  <c r="BA244" i="3"/>
  <c r="AZ244" i="3" s="1"/>
  <c r="BA245" i="3"/>
  <c r="AZ245" i="3" s="1"/>
  <c r="BL247" i="3"/>
  <c r="AZ247" i="3" s="1"/>
  <c r="G257" i="3"/>
  <c r="G258" i="3"/>
  <c r="BL258" i="3"/>
  <c r="G267" i="3"/>
  <c r="BL267" i="3"/>
  <c r="AZ267" i="3" s="1"/>
  <c r="BA272" i="3"/>
  <c r="AZ272" i="3" s="1"/>
  <c r="BA273" i="3"/>
  <c r="AZ273" i="3" s="1"/>
  <c r="BA274" i="3"/>
  <c r="AZ274" i="3" s="1"/>
  <c r="BL276" i="3"/>
  <c r="AZ276" i="3" s="1"/>
  <c r="G286" i="3"/>
  <c r="G287" i="3"/>
  <c r="G288" i="3"/>
  <c r="G289" i="3"/>
  <c r="BL289" i="3"/>
  <c r="AZ289" i="3" s="1"/>
  <c r="BA294" i="3"/>
  <c r="AZ294" i="3" s="1"/>
  <c r="BA295" i="3"/>
  <c r="AZ295" i="3" s="1"/>
  <c r="BA296" i="3"/>
  <c r="AZ296" i="3" s="1"/>
  <c r="G114" i="3"/>
  <c r="G117" i="3"/>
  <c r="BL117" i="3"/>
  <c r="AZ117" i="3" s="1"/>
  <c r="BL120" i="3"/>
  <c r="AZ120" i="3" s="1"/>
  <c r="AZ160" i="3"/>
  <c r="AZ163" i="3"/>
  <c r="G169" i="3"/>
  <c r="BL176" i="3"/>
  <c r="AZ194" i="3"/>
  <c r="BA383" i="3"/>
  <c r="AZ383" i="3" s="1"/>
  <c r="BA387" i="3"/>
  <c r="AZ387" i="3" s="1"/>
  <c r="BA388" i="3"/>
  <c r="AZ388" i="3" s="1"/>
  <c r="BA205" i="3"/>
  <c r="AZ205" i="3" s="1"/>
  <c r="BL207" i="3"/>
  <c r="AZ207" i="3" s="1"/>
  <c r="G217" i="3"/>
  <c r="G218" i="3"/>
  <c r="BL218" i="3"/>
  <c r="AZ218" i="3" s="1"/>
  <c r="BA224" i="3"/>
  <c r="AZ224" i="3" s="1"/>
  <c r="BA225" i="3"/>
  <c r="AZ225" i="3" s="1"/>
  <c r="G228" i="3"/>
  <c r="G229" i="3"/>
  <c r="G230" i="3"/>
  <c r="BL230" i="3"/>
  <c r="AZ230" i="3" s="1"/>
  <c r="BA235" i="3"/>
  <c r="AZ235" i="3" s="1"/>
  <c r="BA236" i="3"/>
  <c r="AZ236" i="3" s="1"/>
  <c r="BA237" i="3"/>
  <c r="AZ237" i="3" s="1"/>
  <c r="BL239" i="3"/>
  <c r="AZ239" i="3" s="1"/>
  <c r="G249" i="3"/>
  <c r="G250" i="3"/>
  <c r="BL250" i="3"/>
  <c r="AZ250" i="3" s="1"/>
  <c r="BA256" i="3"/>
  <c r="AZ256" i="3" s="1"/>
  <c r="BA257" i="3"/>
  <c r="AZ257" i="3" s="1"/>
  <c r="G260" i="3"/>
  <c r="G261" i="3"/>
  <c r="G262" i="3"/>
  <c r="BL262" i="3"/>
  <c r="BA266" i="3"/>
  <c r="AZ266" i="3" s="1"/>
  <c r="BL268" i="3"/>
  <c r="AZ268" i="3" s="1"/>
  <c r="G278" i="3"/>
  <c r="G279" i="3"/>
  <c r="BL279" i="3"/>
  <c r="BA285" i="3"/>
  <c r="AZ285" i="3" s="1"/>
  <c r="BA286" i="3"/>
  <c r="AZ286" i="3" s="1"/>
  <c r="BA287" i="3"/>
  <c r="AZ287" i="3" s="1"/>
  <c r="BA288" i="3"/>
  <c r="AZ288" i="3" s="1"/>
  <c r="BL290" i="3"/>
  <c r="AZ290" i="3" s="1"/>
  <c r="BA113" i="3"/>
  <c r="AZ113" i="3" s="1"/>
  <c r="BA116" i="3"/>
  <c r="AZ116" i="3" s="1"/>
  <c r="G119" i="3"/>
  <c r="BL121" i="3"/>
  <c r="AZ121" i="3" s="1"/>
  <c r="G125" i="3"/>
  <c r="G126" i="3"/>
  <c r="G127" i="3"/>
  <c r="G129" i="3"/>
  <c r="G130" i="3"/>
  <c r="G131" i="3"/>
  <c r="G133" i="3"/>
  <c r="G134" i="3"/>
  <c r="G135" i="3"/>
  <c r="G137" i="3"/>
  <c r="G138" i="3"/>
  <c r="G139" i="3"/>
  <c r="BL140" i="3"/>
  <c r="AZ140" i="3" s="1"/>
  <c r="BL142" i="3"/>
  <c r="AZ142" i="3" s="1"/>
  <c r="BL145" i="3"/>
  <c r="AZ145" i="3" s="1"/>
  <c r="BL148" i="3"/>
  <c r="AZ148" i="3" s="1"/>
  <c r="BL150" i="3"/>
  <c r="AZ150" i="3" s="1"/>
  <c r="BL153" i="3"/>
  <c r="AZ153" i="3" s="1"/>
  <c r="BA168" i="3"/>
  <c r="AZ168" i="3" s="1"/>
  <c r="BA171" i="3"/>
  <c r="AZ171" i="3" s="1"/>
  <c r="G176" i="3"/>
  <c r="AZ182" i="3"/>
  <c r="AZ198" i="3"/>
  <c r="AZ73" i="3"/>
  <c r="AZ36" i="3"/>
  <c r="AZ52" i="3"/>
  <c r="AZ75" i="3"/>
  <c r="AZ85" i="3"/>
  <c r="AZ92" i="3"/>
  <c r="AZ101" i="3"/>
  <c r="AZ108" i="3"/>
  <c r="G172" i="3"/>
  <c r="BL172" i="3"/>
  <c r="BL175" i="3"/>
  <c r="BL178" i="3"/>
  <c r="AZ178" i="3" s="1"/>
  <c r="BA22" i="3"/>
  <c r="AZ22" i="3" s="1"/>
  <c r="BA23" i="3"/>
  <c r="AZ23" i="3" s="1"/>
  <c r="BA24" i="3"/>
  <c r="AZ24" i="3" s="1"/>
  <c r="G27" i="3"/>
  <c r="G28" i="3"/>
  <c r="BL28" i="3"/>
  <c r="G34" i="3"/>
  <c r="BL34" i="3"/>
  <c r="BA38" i="3"/>
  <c r="AZ38" i="3" s="1"/>
  <c r="BA39" i="3"/>
  <c r="AZ39" i="3" s="1"/>
  <c r="BA40" i="3"/>
  <c r="AZ40" i="3" s="1"/>
  <c r="G43" i="3"/>
  <c r="G44" i="3"/>
  <c r="BL44" i="3"/>
  <c r="G50" i="3"/>
  <c r="BL50" i="3"/>
  <c r="BA54" i="3"/>
  <c r="AZ54" i="3" s="1"/>
  <c r="BA55" i="3"/>
  <c r="AZ55" i="3" s="1"/>
  <c r="BA56" i="3"/>
  <c r="AZ56" i="3" s="1"/>
  <c r="G59" i="3"/>
  <c r="G60" i="3"/>
  <c r="BL60" i="3"/>
  <c r="BA64" i="3"/>
  <c r="AZ64" i="3" s="1"/>
  <c r="BL66" i="3"/>
  <c r="AZ66" i="3" s="1"/>
  <c r="G73" i="3"/>
  <c r="BL73" i="3"/>
  <c r="BA77" i="3"/>
  <c r="AZ77" i="3" s="1"/>
  <c r="BA78" i="3"/>
  <c r="AZ78" i="3" s="1"/>
  <c r="BA79" i="3"/>
  <c r="AZ79" i="3" s="1"/>
  <c r="G82" i="3"/>
  <c r="G83" i="3"/>
  <c r="BL83" i="3"/>
  <c r="AZ83" i="3" s="1"/>
  <c r="BA88" i="3"/>
  <c r="AZ88" i="3" s="1"/>
  <c r="BL90" i="3"/>
  <c r="AZ90" i="3" s="1"/>
  <c r="G96" i="3"/>
  <c r="BL96" i="3"/>
  <c r="AZ96" i="3" s="1"/>
  <c r="BA104" i="3"/>
  <c r="AZ104" i="3" s="1"/>
  <c r="BL106" i="3"/>
  <c r="AZ106" i="3" s="1"/>
  <c r="G112" i="3"/>
  <c r="I10" i="57"/>
  <c r="G177" i="3"/>
  <c r="G178" i="3"/>
  <c r="BL180" i="3"/>
  <c r="AZ180" i="3" s="1"/>
  <c r="BL184" i="3"/>
  <c r="AZ184" i="3" s="1"/>
  <c r="BL188" i="3"/>
  <c r="AZ188" i="3" s="1"/>
  <c r="BL192" i="3"/>
  <c r="AZ192" i="3" s="1"/>
  <c r="BL196" i="3"/>
  <c r="AZ196" i="3" s="1"/>
  <c r="BL200" i="3"/>
  <c r="AZ200" i="3" s="1"/>
  <c r="BA204" i="3"/>
  <c r="AZ204" i="3" s="1"/>
  <c r="BA26" i="3"/>
  <c r="AZ26" i="3" s="1"/>
  <c r="BA27" i="3"/>
  <c r="AZ27" i="3" s="1"/>
  <c r="BL30" i="3"/>
  <c r="AZ30" i="3" s="1"/>
  <c r="BA33" i="3"/>
  <c r="AZ33" i="3" s="1"/>
  <c r="BL35" i="3"/>
  <c r="AZ35" i="3" s="1"/>
  <c r="BA42" i="3"/>
  <c r="AZ42" i="3" s="1"/>
  <c r="BA43" i="3"/>
  <c r="AZ43" i="3" s="1"/>
  <c r="BL46" i="3"/>
  <c r="AZ46" i="3" s="1"/>
  <c r="BA49" i="3"/>
  <c r="AZ49" i="3" s="1"/>
  <c r="BL51" i="3"/>
  <c r="AZ51" i="3" s="1"/>
  <c r="BA58" i="3"/>
  <c r="AZ58" i="3" s="1"/>
  <c r="BA59" i="3"/>
  <c r="AZ59" i="3" s="1"/>
  <c r="BL62" i="3"/>
  <c r="AZ62" i="3" s="1"/>
  <c r="BL68" i="3"/>
  <c r="AZ68" i="3" s="1"/>
  <c r="BL69" i="3"/>
  <c r="BA72" i="3"/>
  <c r="AZ72" i="3" s="1"/>
  <c r="BL74" i="3"/>
  <c r="AZ74" i="3" s="1"/>
  <c r="BA81" i="3"/>
  <c r="AZ81" i="3" s="1"/>
  <c r="BA82" i="3"/>
  <c r="AZ82" i="3" s="1"/>
  <c r="BL84" i="3"/>
  <c r="AZ84" i="3" s="1"/>
  <c r="BL91" i="3"/>
  <c r="AZ91" i="3" s="1"/>
  <c r="BA95" i="3"/>
  <c r="AZ95" i="3" s="1"/>
  <c r="BL100" i="3"/>
  <c r="BL107" i="3"/>
  <c r="AZ107" i="3" s="1"/>
  <c r="BA111" i="3"/>
  <c r="AZ111" i="3" s="1"/>
  <c r="BA112" i="3"/>
  <c r="AZ112" i="3" s="1"/>
  <c r="D23" i="15"/>
  <c r="BA176" i="3"/>
  <c r="AZ176" i="3" s="1"/>
  <c r="BA177" i="3"/>
  <c r="AZ177" i="3" s="1"/>
  <c r="G183" i="3"/>
  <c r="G184" i="3"/>
  <c r="G187" i="3"/>
  <c r="G188" i="3"/>
  <c r="G191" i="3"/>
  <c r="G192" i="3"/>
  <c r="G195" i="3"/>
  <c r="G196" i="3"/>
  <c r="G199" i="3"/>
  <c r="G200" i="3"/>
  <c r="G202" i="3"/>
  <c r="BL202" i="3"/>
  <c r="BA29" i="3"/>
  <c r="AZ29" i="3" s="1"/>
  <c r="BL31" i="3"/>
  <c r="AZ31" i="3" s="1"/>
  <c r="G37" i="3"/>
  <c r="BL37" i="3"/>
  <c r="BA45" i="3"/>
  <c r="AZ45" i="3" s="1"/>
  <c r="BL47" i="3"/>
  <c r="AZ47" i="3" s="1"/>
  <c r="G53" i="3"/>
  <c r="BL53" i="3"/>
  <c r="BA61" i="3"/>
  <c r="AZ61" i="3" s="1"/>
  <c r="BL63" i="3"/>
  <c r="AZ63" i="3" s="1"/>
  <c r="BA67" i="3"/>
  <c r="AZ67" i="3" s="1"/>
  <c r="BL70" i="3"/>
  <c r="AZ70" i="3" s="1"/>
  <c r="G76" i="3"/>
  <c r="BL76" i="3"/>
  <c r="AZ76" i="3" s="1"/>
  <c r="G86" i="3"/>
  <c r="G87" i="3"/>
  <c r="BL87" i="3"/>
  <c r="AZ87" i="3" s="1"/>
  <c r="G93" i="3"/>
  <c r="BL93" i="3"/>
  <c r="AZ93" i="3" s="1"/>
  <c r="BA97" i="3"/>
  <c r="AZ97" i="3" s="1"/>
  <c r="BA98" i="3"/>
  <c r="AZ98" i="3" s="1"/>
  <c r="BA99" i="3"/>
  <c r="AZ99" i="3" s="1"/>
  <c r="G102" i="3"/>
  <c r="G103" i="3"/>
  <c r="BL103" i="3"/>
  <c r="AZ103" i="3" s="1"/>
  <c r="G109" i="3"/>
  <c r="BL109" i="3"/>
  <c r="AZ109" i="3" s="1"/>
  <c r="K12" i="1"/>
  <c r="M12" i="1" s="1"/>
  <c r="O12" i="1" s="1"/>
  <c r="P12" i="1" s="1"/>
  <c r="E26" i="57"/>
  <c r="H42" i="39"/>
  <c r="AB42" i="39" s="1"/>
  <c r="J42" i="39"/>
  <c r="AC42" i="39" s="1"/>
  <c r="F42" i="39"/>
  <c r="AC43" i="39"/>
  <c r="W33" i="39"/>
  <c r="AB29" i="39"/>
  <c r="S23" i="39"/>
  <c r="S17" i="39"/>
  <c r="BL13" i="3"/>
  <c r="L59" i="68"/>
  <c r="N59" i="68"/>
  <c r="M59" i="68"/>
  <c r="AZ484" i="3"/>
  <c r="AZ564" i="3"/>
  <c r="AA12" i="21"/>
  <c r="S12" i="21"/>
  <c r="AC24" i="35"/>
  <c r="W24" i="35"/>
  <c r="W24" i="36"/>
  <c r="AC24" i="36"/>
  <c r="U14" i="37"/>
  <c r="AB14" i="37"/>
  <c r="S9" i="21"/>
  <c r="AA9" i="21"/>
  <c r="U27" i="33"/>
  <c r="AB27" i="33"/>
  <c r="AA31" i="33"/>
  <c r="S31" i="33"/>
  <c r="AC23" i="35"/>
  <c r="W23" i="35"/>
  <c r="W12" i="36"/>
  <c r="AC12" i="36"/>
  <c r="U34" i="36"/>
  <c r="AB34" i="36"/>
  <c r="H5" i="3"/>
  <c r="J9" i="35"/>
  <c r="W9" i="35" s="1"/>
  <c r="F34" i="35"/>
  <c r="H24" i="36"/>
  <c r="J25" i="37"/>
  <c r="G553" i="3"/>
  <c r="G548" i="3"/>
  <c r="AZ389" i="3"/>
  <c r="AZ400" i="3"/>
  <c r="AZ404" i="3"/>
  <c r="AZ416" i="3"/>
  <c r="AZ440" i="3"/>
  <c r="AZ460" i="3"/>
  <c r="AZ464" i="3"/>
  <c r="AZ210" i="3"/>
  <c r="AZ222" i="3"/>
  <c r="AZ226" i="3"/>
  <c r="AZ238" i="3"/>
  <c r="AZ242" i="3"/>
  <c r="AZ258" i="3"/>
  <c r="AC13" i="40"/>
  <c r="W27" i="39"/>
  <c r="AB32" i="40"/>
  <c r="W35" i="40"/>
  <c r="AB14" i="40"/>
  <c r="U31" i="37"/>
  <c r="AA23" i="37"/>
  <c r="AB43" i="33"/>
  <c r="AB44" i="21"/>
  <c r="AC28" i="33"/>
  <c r="S46" i="33"/>
  <c r="W42" i="21"/>
  <c r="AB30" i="21"/>
  <c r="S46" i="21"/>
  <c r="AZ412" i="3"/>
  <c r="AZ419" i="3"/>
  <c r="AZ425" i="3"/>
  <c r="AZ429" i="3"/>
  <c r="AZ448" i="3"/>
  <c r="AZ318" i="3"/>
  <c r="AZ334" i="3"/>
  <c r="AZ368" i="3"/>
  <c r="AZ384" i="3"/>
  <c r="AZ386" i="3"/>
  <c r="AZ262" i="3"/>
  <c r="C18" i="9"/>
  <c r="M43" i="9" s="1"/>
  <c r="A30" i="64"/>
  <c r="A30" i="51"/>
  <c r="AZ275" i="3"/>
  <c r="AZ279" i="3"/>
  <c r="AZ156" i="3"/>
  <c r="AZ159" i="3"/>
  <c r="AZ172" i="3"/>
  <c r="AZ175" i="3"/>
  <c r="AZ202" i="3"/>
  <c r="AZ28" i="3"/>
  <c r="AZ34" i="3"/>
  <c r="AZ37" i="3"/>
  <c r="AZ44" i="3"/>
  <c r="AZ50" i="3"/>
  <c r="AZ53" i="3"/>
  <c r="AZ60" i="3"/>
  <c r="BA21" i="3"/>
  <c r="AZ21" i="3" s="1"/>
  <c r="AZ69" i="3"/>
  <c r="AZ80" i="3"/>
  <c r="AZ89" i="3"/>
  <c r="AZ100" i="3"/>
  <c r="AZ105" i="3"/>
  <c r="I21" i="57"/>
  <c r="D1" i="57" s="1"/>
  <c r="E10" i="57" s="1"/>
  <c r="F6" i="1"/>
  <c r="G11" i="1"/>
  <c r="M22" i="44"/>
  <c r="F32" i="15"/>
  <c r="F59" i="15" s="1"/>
  <c r="F29" i="12"/>
  <c r="C29" i="12" s="1"/>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C24" i="12"/>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B6" i="63" s="1"/>
  <c r="C51" i="10"/>
  <c r="H58" i="46"/>
  <c r="H61" i="46"/>
  <c r="H62" i="46"/>
  <c r="H71"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68"/>
  <c r="F9" i="44"/>
  <c r="M23" i="15"/>
  <c r="M28" i="44"/>
  <c r="M25" i="44"/>
  <c r="M8" i="44"/>
  <c r="F18" i="44"/>
  <c r="F28" i="44"/>
  <c r="L47" i="15"/>
  <c r="F39" i="44"/>
  <c r="F11" i="44"/>
  <c r="F9" i="15"/>
  <c r="M10" i="44"/>
  <c r="L49" i="44"/>
  <c r="F15" i="44"/>
  <c r="F26" i="15"/>
  <c r="F40" i="44"/>
  <c r="M31" i="44"/>
  <c r="F13" i="15"/>
  <c r="F10" i="44"/>
  <c r="F43" i="15"/>
  <c r="M29" i="68"/>
  <c r="M24" i="44"/>
  <c r="L48" i="44"/>
  <c r="F16" i="15"/>
  <c r="F7" i="68"/>
  <c r="M11" i="44"/>
  <c r="M26" i="44"/>
  <c r="F38" i="44"/>
  <c r="M26" i="15"/>
  <c r="F43" i="68"/>
  <c r="F31" i="68"/>
  <c r="F8" i="44"/>
  <c r="J36" i="15"/>
  <c r="F45" i="44"/>
  <c r="F43" i="44"/>
  <c r="J17" i="44"/>
  <c r="M30" i="44"/>
  <c r="W17" i="21" l="1"/>
  <c r="AC36" i="21"/>
  <c r="AA36" i="21"/>
  <c r="AB36" i="21"/>
  <c r="AA17" i="21"/>
  <c r="AC23" i="21"/>
  <c r="AA15" i="21"/>
  <c r="AB10" i="21"/>
  <c r="AB34" i="35"/>
  <c r="U34" i="35"/>
  <c r="AA24" i="36"/>
  <c r="S24" i="36"/>
  <c r="AC12" i="21"/>
  <c r="W12" i="21"/>
  <c r="H73" i="46"/>
  <c r="AZ431" i="3"/>
  <c r="AC9" i="33"/>
  <c r="W9" i="33"/>
  <c r="AZ541" i="3"/>
  <c r="AZ420" i="3"/>
  <c r="AB9" i="34"/>
  <c r="U9" i="34"/>
  <c r="H74" i="46"/>
  <c r="C7" i="46"/>
  <c r="W20" i="36"/>
  <c r="W12" i="35"/>
  <c r="AC12" i="35"/>
  <c r="S12" i="33"/>
  <c r="AA12" i="33"/>
  <c r="AC9" i="34"/>
  <c r="W9" i="34"/>
  <c r="AB28" i="21"/>
  <c r="U28" i="21"/>
  <c r="AA42" i="39"/>
  <c r="S42" i="39"/>
  <c r="AB11" i="46"/>
  <c r="AB13" i="46" s="1"/>
  <c r="F71" i="68"/>
  <c r="F50" i="68"/>
  <c r="M7" i="68"/>
  <c r="C6" i="68"/>
  <c r="C5" i="68" s="1"/>
  <c r="L56" i="68"/>
  <c r="I54" i="68"/>
  <c r="J57" i="68"/>
  <c r="J55" i="68" s="1"/>
  <c r="J58" i="68" s="1"/>
  <c r="Q50" i="68" s="1"/>
  <c r="L58" i="68"/>
  <c r="M6" i="1"/>
  <c r="C15" i="43" s="1"/>
  <c r="AB24" i="36"/>
  <c r="U24" i="36"/>
  <c r="C16" i="46"/>
  <c r="C5" i="46" s="1"/>
  <c r="AP6" i="1"/>
  <c r="W25" i="37"/>
  <c r="AC25" i="37"/>
  <c r="AA34" i="35"/>
  <c r="S34" i="35"/>
  <c r="Q74" i="68"/>
  <c r="Q61" i="68"/>
  <c r="G6" i="1"/>
  <c r="L59" i="15"/>
  <c r="Q75" i="15" s="1"/>
  <c r="J53" i="15"/>
  <c r="F1"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Q72" i="15"/>
  <c r="F70" i="15"/>
  <c r="G66" i="36"/>
  <c r="J18" i="36"/>
  <c r="AE8" i="1"/>
  <c r="AE7" i="1"/>
  <c r="AE6" i="1"/>
  <c r="M19" i="44"/>
  <c r="F33" i="44"/>
  <c r="F31" i="15"/>
  <c r="C15" i="12"/>
  <c r="F38" i="15"/>
  <c r="F59" i="68"/>
  <c r="F7" i="15"/>
  <c r="F46" i="44"/>
  <c r="F41" i="15"/>
  <c r="M28" i="15"/>
  <c r="M22" i="15"/>
  <c r="M8" i="15"/>
  <c r="F36" i="15"/>
  <c r="L48" i="15"/>
  <c r="C18" i="44"/>
  <c r="M17" i="68"/>
  <c r="C16" i="15"/>
  <c r="M24" i="15"/>
  <c r="M9" i="15"/>
  <c r="M29" i="15"/>
  <c r="F8" i="15"/>
  <c r="F40" i="15"/>
  <c r="F41" i="68"/>
  <c r="F37" i="15"/>
  <c r="C16" i="68"/>
  <c r="M6" i="15"/>
  <c r="F6" i="15"/>
  <c r="J15" i="15"/>
  <c r="F42" i="15"/>
  <c r="K105" i="46" l="1"/>
  <c r="K107" i="46"/>
  <c r="J105" i="46"/>
  <c r="K104" i="46"/>
  <c r="J103" i="46"/>
  <c r="J109" i="46"/>
  <c r="F107" i="46"/>
  <c r="C104" i="46"/>
  <c r="F106" i="46"/>
  <c r="J107" i="46"/>
  <c r="F63" i="15"/>
  <c r="M7" i="15"/>
  <c r="J6" i="15" s="1"/>
  <c r="J5" i="15" s="1"/>
  <c r="J18" i="15" s="1"/>
  <c r="F49" i="15"/>
  <c r="C6" i="15"/>
  <c r="C5" i="15" s="1"/>
  <c r="F67" i="15"/>
  <c r="I54" i="15"/>
  <c r="L56" i="15"/>
  <c r="L58" i="15"/>
  <c r="Q74" i="15" s="1"/>
  <c r="J57" i="15"/>
  <c r="J55" i="15" s="1"/>
  <c r="J58" i="15" s="1"/>
  <c r="Q51" i="15" s="1"/>
  <c r="F64" i="15"/>
  <c r="F50" i="15"/>
  <c r="F65" i="15"/>
  <c r="H7" i="36"/>
  <c r="AB7" i="36" s="1"/>
  <c r="T36" i="36" s="1"/>
  <c r="G36" i="36" s="1"/>
  <c r="G40" i="36" s="1"/>
  <c r="H40" i="36" s="1"/>
  <c r="J7" i="35"/>
  <c r="AC7" i="35" s="1"/>
  <c r="V38" i="35" s="1"/>
  <c r="I38" i="35" s="1"/>
  <c r="F7" i="34"/>
  <c r="F7" i="36"/>
  <c r="S7" i="36" s="1"/>
  <c r="F7" i="35"/>
  <c r="J7" i="34"/>
  <c r="F103" i="46"/>
  <c r="C107" i="46"/>
  <c r="J6" i="68"/>
  <c r="J5" i="68"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S7" i="37"/>
  <c r="U7" i="34"/>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7" i="46"/>
  <c r="G35" i="46"/>
  <c r="I35" i="46" s="1"/>
  <c r="E38" i="46"/>
  <c r="G36" i="46"/>
  <c r="I36" i="46" s="1"/>
  <c r="E33" i="46"/>
  <c r="C30" i="46"/>
  <c r="E30" i="46" s="1"/>
  <c r="G34" i="46"/>
  <c r="I34" i="46" s="1"/>
  <c r="B21" i="55"/>
  <c r="B72" i="63" s="1"/>
  <c r="B20" i="55"/>
  <c r="B70" i="63"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Q53" i="15"/>
  <c r="C20" i="11"/>
  <c r="C21" i="11" s="1"/>
  <c r="C22" i="11" s="1"/>
  <c r="C23" i="11" s="1"/>
  <c r="B2" i="11" s="1"/>
  <c r="AC12" i="40"/>
  <c r="W12" i="40"/>
  <c r="E46" i="37"/>
  <c r="F46" i="37" s="1"/>
  <c r="C48" i="33"/>
  <c r="C49" i="33"/>
  <c r="B3" i="33" s="1"/>
  <c r="B2" i="33" s="1"/>
  <c r="M17" i="15"/>
  <c r="F58" i="15"/>
  <c r="D21" i="12"/>
  <c r="F33" i="12"/>
  <c r="M29" i="44"/>
  <c r="M27" i="15"/>
  <c r="F7" i="67"/>
  <c r="L52" i="44"/>
  <c r="M27" i="68"/>
  <c r="C48" i="15" l="1"/>
  <c r="AB12" i="39"/>
  <c r="K15" i="1"/>
  <c r="K16" i="1" s="1"/>
  <c r="G41" i="36"/>
  <c r="H41" i="36" s="1"/>
  <c r="AA7" i="36"/>
  <c r="R36" i="36" s="1"/>
  <c r="E36" i="36" s="1"/>
  <c r="E40" i="36" s="1"/>
  <c r="F40" i="36" s="1"/>
  <c r="Q61" i="15"/>
  <c r="E30" i="6"/>
  <c r="E31" i="6" s="1"/>
  <c r="C34" i="12"/>
  <c r="D33" i="12" s="1"/>
  <c r="C21" i="12"/>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R37" i="36"/>
  <c r="C26" i="46"/>
  <c r="C26" i="43"/>
  <c r="D24" i="43" s="1"/>
  <c r="C32" i="12"/>
  <c r="D30" i="12" s="1"/>
  <c r="M14" i="1"/>
  <c r="M20" i="6"/>
  <c r="I20" i="6" s="1"/>
  <c r="S20" i="6" s="1"/>
  <c r="S7" i="1"/>
  <c r="K27" i="6"/>
  <c r="M19" i="6"/>
  <c r="S6" i="1"/>
  <c r="M21" i="6"/>
  <c r="I21" i="6" s="1"/>
  <c r="S21" i="6" s="1"/>
  <c r="S8" i="1"/>
  <c r="M22" i="6"/>
  <c r="I22" i="6" s="1"/>
  <c r="S22" i="6" s="1"/>
  <c r="S9" i="1"/>
  <c r="E3" i="6"/>
  <c r="B3" i="11"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4" i="68"/>
  <c r="C19" i="44"/>
  <c r="C17" i="68"/>
  <c r="C17" i="15"/>
  <c r="E7" i="67"/>
  <c r="I41" i="36" l="1"/>
  <c r="J41" i="36" s="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T7" i="1" l="1"/>
  <c r="B27" i="9"/>
  <c r="F40" i="39"/>
  <c r="H40" i="39"/>
  <c r="J40" i="39"/>
  <c r="C19" i="68"/>
  <c r="C20" i="68" s="1"/>
  <c r="C26" i="68"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D22" i="12"/>
  <c r="C13" i="12"/>
  <c r="C14" i="15"/>
  <c r="C16" i="44"/>
  <c r="AB40" i="39" l="1"/>
  <c r="U40" i="39"/>
  <c r="AC40" i="39"/>
  <c r="W40" i="39"/>
  <c r="AA40" i="39"/>
  <c r="S40" i="39"/>
  <c r="C22" i="12"/>
  <c r="C20" i="12"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8"/>
  <c r="F37" i="44"/>
  <c r="F35" i="15"/>
  <c r="M23" i="44"/>
  <c r="M21" i="68"/>
  <c r="M21" i="15"/>
  <c r="J20" i="68" l="1"/>
  <c r="C34" i="68"/>
  <c r="F63" i="68"/>
  <c r="C62" i="68" s="1"/>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C31" i="68" l="1"/>
  <c r="F13" i="39"/>
  <c r="H13" i="39"/>
  <c r="J13" i="39"/>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35" i="12" s="1"/>
  <c r="C33" i="12" s="1"/>
  <c r="C19" i="43"/>
  <c r="C22" i="43" s="1"/>
  <c r="C21" i="43" s="1"/>
  <c r="K67" i="40"/>
  <c r="L65" i="40"/>
  <c r="K72" i="39"/>
  <c r="L70" i="39"/>
  <c r="C30" i="68" l="1"/>
  <c r="C39" i="68" s="1"/>
  <c r="C40" i="68" s="1"/>
  <c r="AB13" i="39"/>
  <c r="U13" i="39"/>
  <c r="AC13" i="39"/>
  <c r="W13" i="39"/>
  <c r="AA13" i="39"/>
  <c r="S13" i="39"/>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8" i="12"/>
  <c r="C26" i="12" s="1"/>
  <c r="C25" i="43"/>
  <c r="C24" i="43" s="1"/>
  <c r="C28" i="43" s="1"/>
  <c r="C30" i="43" s="1"/>
  <c r="L72" i="39"/>
  <c r="M70" i="39"/>
  <c r="M65" i="40"/>
  <c r="L67" i="40"/>
  <c r="C33" i="15"/>
  <c r="L51" i="68"/>
  <c r="Q69" i="68" l="1"/>
  <c r="Q68" i="68" s="1"/>
  <c r="C80" i="68"/>
  <c r="C79" i="68"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D19" i="9"/>
  <c r="Q66" i="68" l="1"/>
  <c r="Q75" i="68" s="1"/>
  <c r="Q57" i="68"/>
  <c r="Q62" i="68" s="1"/>
  <c r="B3" i="68"/>
  <c r="B2" i="68"/>
  <c r="C44" i="44"/>
  <c r="C45" i="44" s="1"/>
  <c r="B2" i="44" s="1"/>
  <c r="B4" i="44" s="1"/>
  <c r="C30" i="15"/>
  <c r="C39" i="15" s="1"/>
  <c r="Q70" i="15" s="1"/>
  <c r="Q69" i="15" s="1"/>
  <c r="C58" i="15"/>
  <c r="C57" i="15" s="1"/>
  <c r="C66" i="15" s="1"/>
  <c r="C67" i="15" s="1"/>
  <c r="C70" i="15" s="1"/>
  <c r="Q70" i="44"/>
  <c r="Q49" i="44"/>
  <c r="Q55" i="44" s="1"/>
  <c r="Q58" i="44"/>
  <c r="Q64" i="44" s="1"/>
  <c r="L44" i="9"/>
  <c r="B3" i="43"/>
  <c r="B5" i="43"/>
  <c r="B4" i="43"/>
  <c r="J9" i="40"/>
  <c r="F9" i="40"/>
  <c r="H9" i="40"/>
  <c r="J9" i="39"/>
  <c r="H9" i="39"/>
  <c r="F9" i="39"/>
  <c r="B3" i="12"/>
  <c r="B4" i="12"/>
  <c r="B5" i="12"/>
  <c r="D21" i="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D20" i="9"/>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27" i="9" s="1"/>
  <c r="D27" i="9" s="1"/>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<sst xmlns="http://schemas.openxmlformats.org/spreadsheetml/2006/main" count="7878" uniqueCount="3362">
  <si>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</si>
  <si>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</si>
  <si>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</si>
  <si>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</si>
  <si>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</si>
  <si>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</si>
  <si>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</si>
  <si>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</si>
  <si>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</si>
  <si>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</si>
  <si>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</si>
  <si>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</si>
  <si>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</si>
  <si>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</si>
  <si>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</si>
  <si>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</si>
  <si>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</si>
  <si>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</si>
  <si>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</si>
  <si>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</si>
  <si>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</si>
  <si>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</si>
  <si>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</si>
  <si>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</si>
  <si>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</si>
  <si>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</si>
  <si>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</si>
  <si>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</si>
  <si>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</si>
  <si>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</si>
  <si>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</si>
  <si>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</si>
  <si>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</si>
  <si>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</si>
  <si>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</si>
  <si>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</si>
  <si>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</si>
  <si>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</si>
  <si>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</si>
  <si>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</si>
  <si>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</si>
  <si>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</si>
  <si>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</si>
  <si>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</si>
  <si>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</si>
  <si>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</si>
  <si>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</si>
  <si>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</si>
  <si>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</si>
  <si>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</si>
  <si>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</si>
  <si>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</si>
  <si>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</si>
  <si>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</si>
  <si>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</si>
  <si>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</si>
  <si>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</si>
  <si>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</si>
  <si>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</si>
  <si>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</si>
  <si>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</si>
  <si>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</si>
  <si>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</si>
  <si>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</si>
  <si>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</si>
  <si>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</si>
  <si>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</si>
  <si>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</si>
  <si>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</si>
  <si>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</si>
  <si>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</si>
  <si>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</si>
  <si>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</si>
  <si>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</si>
  <si>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</si>
  <si>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</si>
  <si>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</si>
  <si>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</si>
  <si>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</si>
  <si>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</si>
  <si>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</si>
  <si>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</si>
  <si>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</si>
  <si>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</si>
  <si>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</si>
  <si>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</si>
  <si>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</si>
  <si>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</si>
  <si>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</si>
  <si>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</si>
  <si>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</si>
  <si>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</si>
  <si>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</si>
  <si>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</si>
  <si>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</si>
  <si>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</si>
  <si>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</si>
  <si>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</si>
  <si>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</si>
  <si>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</si>
  <si>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</si>
  <si>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</si>
  <si>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</si>
  <si>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</si>
  <si>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</si>
  <si>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</si>
  <si>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</si>
  <si>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</si>
  <si>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</si>
  <si>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</si>
  <si>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</si>
  <si>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</si>
  <si>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</si>
  <si>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</si>
  <si>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</si>
  <si>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</si>
  <si>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</si>
  <si>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</si>
  <si>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</si>
  <si>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</si>
  <si>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</si>
  <si>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</si>
  <si>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</si>
  <si>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</si>
  <si>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</si>
  <si>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</si>
  <si>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</si>
  <si>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</si>
  <si>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</si>
  <si>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</si>
  <si>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</si>
  <si>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</si>
  <si>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</si>
  <si>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</si>
  <si>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</si>
  <si>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</si>
  <si>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</si>
  <si>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</si>
  <si>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</si>
  <si>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</si>
  <si>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</si>
  <si>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</si>
  <si>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</si>
  <si>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</si>
  <si>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</si>
  <si>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</si>
  <si>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</si>
  <si>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</si>
  <si>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</si>
  <si>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</si>
  <si>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</si>
  <si>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</si>
  <si>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</si>
  <si>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</si>
  <si>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</si>
  <si>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</si>
  <si>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</si>
  <si>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</si>
  <si>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</si>
  <si>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</si>
  <si>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</si>
  <si>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</si>
  <si>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</si>
  <si>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</si>
  <si>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</si>
  <si>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</si>
  <si>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</si>
  <si>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</si>
  <si>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</si>
  <si>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</si>
  <si>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</si>
  <si>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</si>
  <si>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</si>
  <si>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</si>
  <si>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</si>
  <si>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</si>
  <si>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</si>
  <si>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</si>
  <si>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</si>
  <si>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</si>
  <si>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</si>
  <si>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</si>
  <si>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</si>
  <si>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</si>
  <si>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</si>
  <si>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</si>
  <si>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</si>
  <si>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</si>
  <si>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</si>
  <si>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</si>
  <si>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</si>
  <si>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</si>
  <si>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</si>
  <si>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</si>
  <si>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</si>
  <si>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</si>
  <si>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</si>
  <si>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</si>
  <si>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</si>
  <si>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</si>
  <si>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</si>
  <si>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</si>
  <si>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</si>
  <si>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</si>
  <si>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</si>
  <si>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</si>
  <si>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</si>
  <si>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</si>
  <si>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</si>
  <si>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</si>
  <si>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</si>
  <si>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</si>
  <si>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</si>
  <si>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</si>
  <si>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</si>
  <si>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</si>
  <si>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</si>
  <si>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</si>
  <si>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</si>
  <si>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</si>
  <si>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</si>
  <si>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</si>
  <si>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</si>
  <si>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</si>
  <si>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</si>
  <si>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</si>
  <si>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</si>
  <si>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</si>
  <si>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</si>
  <si>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</si>
  <si>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</si>
  <si>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</si>
  <si>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</si>
  <si>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</si>
  <si>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</si>
  <si>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</si>
  <si>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</si>
  <si>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</si>
  <si>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</si>
  <si>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</si>
  <si>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</si>
  <si>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</si>
  <si>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</si>
  <si>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</si>
  <si>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</si>
  <si>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</si>
  <si>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</si>
  <si>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</si>
  <si>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</si>
  <si>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</si>
  <si>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</si>
  <si>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</si>
  <si>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</si>
  <si>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</si>
  <si>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</si>
  <si>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</si>
  <si>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</si>
  <si>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</si>
  <si>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</si>
  <si>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</si>
  <si>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</si>
  <si>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</si>
  <si>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</si>
  <si>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</si>
  <si>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</si>
  <si>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</si>
  <si>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</si>
  <si>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</si>
  <si>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</si>
  <si>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</si>
  <si>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</si>
  <si>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</si>
  <si>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</si>
  <si>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</si>
  <si>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</si>
  <si>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</si>
  <si>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</si>
  <si>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</si>
  <si>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</si>
  <si>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</si>
  <si>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</si>
  <si>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</si>
  <si>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</si>
  <si>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</si>
  <si>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</si>
  <si>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</si>
  <si>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</si>
  <si>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</si>
  <si>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</si>
  <si>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</si>
  <si>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</si>
  <si>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</si>
  <si>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</si>
  <si>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</si>
  <si>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</si>
  <si>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</si>
  <si>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</si>
  <si>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</si>
  <si>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</si>
  <si>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</si>
  <si>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</si>
  <si>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</si>
  <si>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</si>
  <si>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</si>
  <si>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</si>
  <si>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</si>
  <si>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</si>
  <si>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</si>
  <si>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</si>
  <si>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</si>
  <si>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</si>
  <si>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</si>
  <si>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</si>
  <si>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</si>
  <si>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</si>
  <si>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</si>
  <si>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</si>
  <si>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</si>
  <si>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</si>
  <si>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</si>
  <si>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</si>
  <si>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</si>
  <si>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</si>
  <si>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</si>
  <si>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</si>
  <si>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</si>
  <si>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</si>
  <si>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</si>
  <si>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</si>
  <si>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</si>
  <si>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</si>
  <si>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</si>
  <si>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</si>
  <si>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</si>
  <si>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</si>
  <si>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</si>
  <si>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</si>
  <si>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</si>
  <si>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</si>
  <si>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</si>
  <si>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</si>
  <si>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</si>
  <si>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</si>
  <si>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</si>
  <si>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</si>
  <si>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</si>
  <si>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</si>
  <si>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</si>
  <si>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</si>
  <si>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</si>
  <si>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</si>
  <si>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</si>
  <si>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</si>
  <si>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</si>
  <si>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</si>
  <si>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</si>
  <si>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</si>
  <si>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</si>
  <si>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</si>
  <si>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</si>
  <si>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</si>
  <si>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</si>
  <si>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</si>
  <si>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</si>
  <si>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</si>
  <si>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</si>
  <si>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</si>
  <si>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</si>
  <si>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</si>
  <si>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</si>
  <si>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</si>
  <si>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</si>
  <si>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</si>
  <si>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</si>
  <si>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</si>
  <si>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</si>
  <si>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</si>
  <si>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</si>
  <si>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</si>
  <si>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</si>
  <si>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</si>
  <si>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</si>
  <si>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</si>
  <si>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</si>
  <si>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</si>
  <si>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</si>
  <si>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</si>
  <si>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</si>
  <si>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</si>
  <si>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</si>
  <si>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</si>
  <si>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</si>
  <si>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</si>
  <si>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</si>
  <si>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</si>
  <si>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</si>
  <si>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</si>
  <si>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</si>
  <si>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</si>
  <si>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</si>
  <si>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</si>
  <si>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</si>
  <si>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</si>
  <si>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</si>
  <si>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</si>
  <si>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</si>
  <si>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</si>
  <si>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</si>
  <si>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</si>
  <si>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</si>
  <si>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</si>
  <si>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</si>
  <si>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</si>
  <si>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</si>
  <si>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</si>
  <si>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</si>
  <si>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</si>
  <si>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</si>
  <si>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</si>
  <si>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</si>
  <si>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</si>
  <si>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</si>
  <si>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</si>
  <si>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</si>
  <si>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</si>
  <si>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</si>
  <si>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</si>
  <si>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</si>
  <si>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</si>
  <si>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</si>
  <si>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</si>
  <si>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</si>
  <si>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</si>
  <si>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</si>
  <si>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</si>
  <si>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</si>
  <si>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</si>
  <si>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</si>
  <si>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</si>
  <si>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</si>
  <si>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</si>
  <si>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</si>
  <si>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</si>
  <si>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</si>
  <si>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</si>
  <si>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</si>
  <si>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</si>
  <si>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</si>
  <si>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</si>
  <si>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</si>
  <si>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</si>
  <si>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</si>
  <si>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</si>
  <si>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</si>
  <si>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</si>
  <si>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</si>
  <si>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</si>
  <si>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</si>
  <si>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</si>
  <si>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</si>
  <si>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</si>
  <si>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</si>
  <si>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</si>
  <si>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</si>
  <si>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</si>
  <si>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</si>
  <si>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</si>
  <si>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</si>
  <si>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</si>
  <si>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</si>
  <si>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</si>
  <si>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</si>
  <si>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</si>
  <si>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</si>
  <si>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</si>
  <si>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</si>
  <si>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</si>
  <si>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</si>
  <si>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</si>
  <si>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</si>
  <si>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</si>
  <si>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</si>
  <si>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</si>
  <si>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</si>
  <si>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</si>
  <si>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</si>
  <si>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</si>
  <si>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</si>
  <si>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</si>
  <si>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</si>
  <si>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</si>
  <si>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</si>
  <si>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</si>
  <si>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</si>
  <si>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</si>
  <si>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</si>
  <si>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</si>
  <si>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</si>
  <si>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</si>
  <si>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</si>
  <si>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</si>
  <si>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</si>
  <si>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</si>
  <si>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</si>
  <si>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</si>
  <si>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</si>
  <si>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</si>
  <si>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</si>
  <si>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</si>
  <si>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</si>
  <si>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</si>
  <si>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</si>
  <si>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</si>
  <si>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</si>
  <si>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</si>
  <si>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</si>
  <si>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</si>
  <si>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</si>
  <si>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</si>
  <si>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</si>
  <si>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</si>
  <si>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</si>
  <si>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</si>
  <si>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</si>
  <si>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</si>
  <si>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</si>
  <si>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</si>
  <si>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</si>
  <si>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</si>
  <si>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</si>
  <si>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</si>
  <si>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</si>
  <si>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</si>
  <si>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</si>
  <si>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</si>
  <si>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</si>
  <si>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</si>
  <si>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</si>
  <si>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</si>
  <si>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</si>
  <si>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</si>
  <si>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</si>
  <si>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</si>
  <si>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</si>
  <si>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</si>
  <si>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</si>
  <si>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</si>
  <si>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</si>
  <si>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</si>
  <si>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</si>
  <si>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</si>
  <si>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</si>
  <si>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</si>
  <si>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</si>
  <si>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</si>
  <si>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</si>
  <si>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</si>
  <si>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</si>
  <si>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</si>
  <si>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</si>
  <si>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</si>
  <si>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</si>
  <si>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</si>
  <si>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</si>
  <si>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</si>
  <si>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</si>
  <si>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</si>
  <si>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</si>
  <si>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</si>
  <si>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</si>
  <si>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</si>
  <si>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</si>
  <si>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</si>
  <si>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</si>
  <si>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</si>
  <si>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</si>
  <si>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</si>
  <si>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</si>
  <si>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</si>
  <si>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</si>
  <si>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</si>
  <si>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</si>
  <si>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</si>
  <si>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</si>
  <si>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</si>
  <si>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</si>
  <si>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</si>
  <si>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</si>
  <si>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</si>
  <si>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</si>
  <si>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</si>
  <si>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</si>
  <si>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</si>
  <si>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</si>
  <si>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</si>
  <si>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</si>
  <si>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</si>
  <si>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</si>
  <si>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</si>
  <si>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</si>
  <si>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</si>
  <si>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</si>
  <si>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</si>
  <si>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</si>
  <si>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</si>
  <si>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</si>
  <si>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</si>
  <si>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</si>
  <si>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</si>
  <si>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</si>
  <si>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</si>
  <si>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</si>
  <si>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</si>
  <si>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</si>
  <si>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</si>
  <si>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</si>
  <si>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</si>
  <si>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</si>
  <si>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</si>
  <si>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</si>
  <si>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</si>
  <si>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</si>
  <si>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</si>
  <si>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</si>
  <si>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</si>
  <si>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</si>
  <si>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</si>
  <si>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</si>
  <si>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</si>
  <si>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</si>
  <si>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</si>
  <si>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</si>
  <si>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</si>
  <si>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</si>
  <si>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</si>
  <si>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</si>
  <si>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</si>
  <si>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</si>
  <si>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</si>
  <si>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</si>
  <si>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</si>
  <si>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</si>
  <si>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</si>
  <si>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</si>
  <si>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</si>
  <si>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</si>
  <si>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</si>
  <si>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</si>
  <si>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</si>
  <si>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</si>
  <si>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</si>
  <si>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</si>
  <si>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</si>
  <si>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</si>
  <si>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</si>
  <si>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</si>
  <si>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</si>
  <si>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</si>
  <si>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</si>
  <si>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</si>
  <si>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</si>
  <si>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</si>
  <si>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</si>
  <si>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</si>
  <si>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</si>
  <si>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</si>
  <si>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</si>
  <si>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</si>
  <si>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</si>
  <si>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</si>
  <si>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</si>
  <si>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</si>
  <si>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</si>
  <si>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</si>
  <si>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</si>
  <si>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</si>
  <si>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</si>
  <si>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</si>
  <si>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</si>
  <si>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</si>
  <si>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</si>
  <si>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</si>
  <si>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</si>
  <si>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</si>
  <si>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</si>
  <si>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</si>
  <si>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</si>
  <si>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</si>
  <si>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</si>
  <si>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</si>
  <si>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</si>
  <si>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</si>
  <si>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</si>
  <si>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</si>
  <si>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</si>
  <si>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</si>
  <si>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</si>
  <si>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</si>
  <si>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</si>
  <si>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</si>
  <si>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</si>
  <si>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</si>
  <si>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</si>
  <si>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</si>
  <si>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</si>
  <si>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</si>
  <si>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</si>
  <si>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</si>
  <si>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</si>
  <si>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</si>
  <si>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</si>
  <si>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</si>
  <si>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</si>
  <si>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</si>
  <si>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</si>
  <si>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</si>
  <si>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</si>
  <si>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</si>
  <si>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</si>
  <si>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</si>
  <si>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</si>
  <si>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</si>
  <si>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</si>
  <si>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</si>
  <si>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</si>
  <si>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</si>
  <si>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</si>
  <si>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</si>
  <si>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</si>
  <si>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</si>
  <si>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</si>
  <si>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</si>
  <si>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</si>
  <si>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</si>
  <si>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</si>
  <si>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</si>
  <si>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</si>
  <si>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</si>
  <si>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</si>
  <si>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</si>
  <si>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</si>
  <si>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</si>
  <si>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</si>
  <si>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</si>
  <si>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</si>
  <si>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</si>
  <si>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</si>
  <si>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</si>
  <si>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</si>
  <si>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</si>
  <si>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</si>
  <si>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</si>
  <si>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</si>
  <si>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</si>
  <si>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</si>
  <si>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</si>
  <si>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</si>
  <si>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</si>
  <si>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</si>
  <si>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</si>
  <si>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</si>
  <si>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</si>
  <si>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</si>
  <si>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</si>
  <si>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</si>
  <si>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</si>
  <si>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</si>
  <si>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</si>
  <si>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</si>
  <si>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</si>
  <si>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</si>
  <si>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</si>
  <si>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</si>
  <si>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</si>
  <si>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</si>
  <si>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</si>
  <si>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</si>
  <si>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</si>
  <si>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</si>
  <si>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</si>
  <si>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</si>
  <si>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</si>
  <si>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</si>
  <si>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</si>
  <si>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</si>
  <si>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</si>
  <si>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</si>
  <si>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</si>
  <si>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</si>
  <si>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</si>
  <si>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</si>
  <si>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</si>
  <si>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</si>
  <si>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</si>
  <si>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</si>
  <si>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</si>
  <si>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</si>
  <si>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</si>
  <si>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</si>
  <si>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</si>
  <si>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</si>
  <si>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</si>
  <si>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</si>
  <si>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</si>
  <si>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</si>
  <si>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</si>
  <si>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</si>
  <si>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</si>
  <si>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</si>
  <si>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</si>
  <si>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</si>
  <si>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</si>
  <si>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</si>
  <si>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</si>
  <si>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</si>
  <si>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</si>
  <si>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</si>
  <si>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</si>
  <si>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</si>
  <si>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</si>
  <si>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</si>
  <si>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</si>
  <si>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</si>
  <si>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</si>
  <si>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</si>
  <si>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</si>
  <si>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</si>
  <si>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</si>
  <si>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</si>
  <si>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</si>
  <si>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</si>
  <si>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</si>
  <si>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</si>
  <si>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</si>
  <si>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</si>
  <si>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</si>
  <si>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</si>
  <si>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</si>
  <si>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</si>
  <si>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</si>
  <si>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</si>
  <si>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</si>
  <si>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</si>
  <si>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</si>
  <si>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</si>
  <si>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</si>
  <si>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</si>
  <si>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</si>
  <si>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</si>
  <si>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</si>
  <si>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</si>
  <si>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</si>
  <si>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</si>
  <si>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</si>
  <si>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</si>
  <si>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</si>
  <si>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</si>
  <si>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</si>
  <si>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</si>
  <si>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</si>
  <si>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</si>
  <si>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</si>
  <si>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</si>
  <si>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</si>
  <si>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</si>
  <si>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</si>
  <si>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</si>
  <si>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</si>
  <si>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</si>
  <si>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</si>
  <si>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</si>
  <si>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</si>
  <si>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</si>
  <si>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</si>
  <si>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</si>
  <si>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</si>
  <si>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</si>
  <si>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</si>
  <si>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</si>
  <si>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</si>
  <si>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</si>
  <si>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</si>
  <si>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</si>
  <si>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</si>
  <si>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</si>
  <si>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</si>
  <si>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</si>
  <si>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</si>
  <si>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</si>
  <si>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</si>
  <si>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</si>
  <si>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</si>
  <si>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</si>
  <si>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</si>
  <si>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</si>
  <si>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</si>
  <si>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</si>
  <si>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</si>
  <si>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</si>
  <si>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</si>
  <si>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</si>
  <si>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</si>
  <si>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</si>
  <si>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</si>
  <si>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</si>
  <si>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</si>
  <si>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</si>
  <si>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</si>
  <si>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</si>
  <si>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</si>
  <si>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</si>
  <si>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</si>
  <si>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</si>
  <si>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</si>
  <si>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</si>
  <si>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</si>
  <si>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</si>
  <si>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</si>
  <si>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</si>
  <si>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</si>
  <si>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</si>
  <si>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</si>
  <si>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</si>
  <si>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</si>
  <si>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</si>
  <si>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</si>
  <si>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</si>
  <si>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</si>
  <si>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</si>
  <si>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</si>
  <si>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</si>
  <si>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</si>
  <si>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</si>
  <si>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</si>
  <si>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</si>
  <si>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</si>
  <si>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</si>
  <si>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</si>
  <si>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</si>
  <si>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</si>
  <si>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</si>
  <si>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</si>
  <si>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</si>
  <si>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</si>
  <si>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</si>
  <si>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</si>
  <si>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</si>
  <si>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</si>
  <si>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</si>
  <si>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</si>
  <si>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</si>
  <si>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</si>
  <si>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</si>
  <si>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</si>
  <si>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</si>
  <si>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</si>
  <si>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</si>
  <si>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</si>
  <si>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</si>
  <si>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</si>
  <si>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</si>
  <si>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</si>
  <si>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</si>
  <si>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</si>
  <si>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</si>
  <si>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</si>
  <si>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</si>
  <si>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</si>
  <si>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</si>
  <si>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</si>
  <si>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</si>
  <si>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</si>
  <si>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</si>
  <si>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</si>
  <si>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</si>
  <si>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</si>
  <si>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</si>
  <si>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</si>
  <si>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</si>
  <si>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</si>
  <si>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</si>
  <si>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</si>
  <si>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</si>
  <si>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</si>
  <si>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</si>
  <si>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</si>
  <si>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</si>
  <si>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</si>
  <si>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</si>
  <si>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</si>
  <si>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</si>
  <si>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</si>
  <si>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</si>
  <si>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</si>
  <si>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</si>
  <si>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</si>
  <si>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</si>
  <si>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</si>
  <si>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</si>
  <si>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</si>
  <si>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</si>
  <si>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</si>
  <si>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</si>
  <si>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</si>
  <si>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</si>
  <si>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</si>
  <si>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</si>
  <si>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</si>
  <si>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</si>
  <si>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</si>
  <si>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</si>
  <si>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</si>
  <si>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</si>
  <si>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</si>
  <si>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</si>
  <si>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</si>
  <si>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</si>
  <si>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</si>
  <si>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</si>
  <si>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</si>
  <si>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</si>
  <si>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</si>
  <si>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</si>
  <si>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</si>
  <si>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</si>
  <si>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</si>
  <si>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</si>
  <si>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</si>
  <si>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</si>
  <si>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</si>
  <si>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</si>
  <si>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</si>
  <si>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</si>
  <si>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</si>
  <si>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</si>
  <si>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</si>
  <si>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</si>
  <si>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</si>
  <si>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</si>
  <si>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</si>
  <si>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</si>
  <si>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</si>
  <si>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</si>
  <si>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</si>
  <si>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</si>
  <si>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</si>
  <si>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</si>
  <si>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</si>
  <si>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</si>
  <si>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</si>
  <si>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</si>
  <si>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</si>
  <si>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</si>
  <si>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</si>
  <si>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</si>
  <si>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</si>
  <si>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</si>
  <si>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</si>
  <si>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</si>
  <si>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</si>
  <si>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</si>
  <si>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</si>
  <si>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</si>
  <si>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</si>
  <si>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</si>
  <si>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</si>
  <si>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</si>
  <si>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</si>
  <si>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</si>
  <si>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</si>
  <si>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</si>
  <si>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</si>
  <si>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</si>
  <si>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</si>
  <si>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</si>
  <si>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</si>
  <si>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</si>
  <si>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</si>
  <si>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</si>
  <si>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</si>
  <si>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</si>
  <si>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</si>
  <si>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</si>
  <si>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</si>
  <si>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</si>
  <si>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</si>
  <si>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</si>
  <si>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</si>
  <si>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</si>
  <si>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</si>
  <si>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</si>
  <si>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</si>
  <si>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</si>
  <si>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</si>
  <si>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</si>
  <si>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</si>
  <si>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</si>
  <si>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</si>
  <si>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</si>
  <si>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</si>
  <si>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</si>
  <si>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</si>
  <si>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</si>
  <si>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</si>
  <si>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</si>
  <si>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</si>
  <si>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</si>
  <si>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</si>
  <si>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</si>
  <si>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</si>
  <si>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</si>
  <si>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</si>
  <si>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</si>
  <si>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</si>
  <si>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</si>
  <si>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</si>
  <si>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</si>
  <si>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</si>
  <si>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</si>
  <si>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</si>
  <si>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</si>
  <si>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</si>
  <si>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</si>
  <si>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</si>
  <si>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</si>
  <si>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</si>
  <si>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</si>
  <si>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</si>
  <si>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</si>
  <si>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</si>
  <si>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</si>
  <si>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</si>
  <si>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</si>
  <si>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</si>
  <si>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</si>
  <si>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</si>
  <si>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</si>
  <si>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</si>
  <si>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</si>
  <si>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</si>
  <si>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</si>
  <si>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</si>
  <si>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</si>
  <si>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</si>
  <si>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</si>
  <si>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</si>
  <si>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</si>
  <si>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</si>
  <si>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</si>
  <si>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</si>
  <si>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</si>
  <si>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</si>
  <si>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</si>
  <si>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</si>
  <si>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</si>
  <si>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</si>
  <si>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</si>
  <si>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</si>
  <si>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</si>
  <si>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</si>
  <si>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</si>
  <si>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</si>
  <si>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</si>
  <si>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</si>
  <si>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</si>
  <si>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</si>
  <si>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</si>
  <si>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</si>
  <si>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</si>
  <si>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</si>
  <si>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</si>
  <si>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</si>
  <si>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</si>
  <si>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</si>
  <si>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</si>
  <si>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</si>
  <si>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</si>
  <si>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</si>
  <si>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</si>
  <si>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</si>
  <si>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</si>
  <si>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</si>
  <si>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</si>
  <si>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</si>
  <si>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</si>
  <si>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</si>
  <si>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</si>
  <si>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</si>
  <si>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</si>
  <si>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</si>
  <si>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</si>
  <si>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</si>
  <si>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</si>
  <si>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</si>
  <si>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</si>
  <si>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</si>
  <si>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</si>
  <si>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</si>
  <si>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</si>
  <si>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</si>
  <si>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</si>
  <si>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</si>
  <si>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</si>
  <si>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</si>
  <si>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</si>
  <si>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</si>
  <si>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</si>
  <si>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</si>
  <si>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</si>
  <si>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</si>
  <si>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</si>
  <si>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</si>
  <si>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</si>
  <si>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</si>
  <si>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</si>
  <si>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</si>
  <si>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</si>
  <si>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</si>
  <si>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</si>
  <si>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</si>
  <si>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</si>
  <si>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</si>
  <si>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</si>
  <si>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</si>
  <si>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</si>
  <si>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</si>
  <si>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</si>
  <si>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</si>
  <si>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</si>
  <si>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</si>
  <si>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</si>
  <si>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</si>
  <si>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</si>
  <si>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</si>
  <si>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</si>
  <si>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</si>
  <si>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</si>
  <si>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</si>
  <si>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</si>
  <si>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</si>
  <si>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</si>
  <si>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</si>
  <si>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</si>
  <si>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</si>
  <si>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</si>
  <si>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</si>
  <si>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</si>
  <si>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</si>
  <si>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</si>
  <si>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</si>
  <si>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</si>
  <si>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</si>
  <si>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</si>
  <si>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</si>
  <si>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</si>
  <si>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</si>
  <si>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</si>
  <si>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</si>
  <si>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</si>
  <si>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</si>
  <si>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</si>
  <si>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</si>
  <si>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</si>
  <si>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</si>
  <si>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</si>
  <si>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</si>
  <si>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</si>
  <si>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</si>
  <si>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</si>
  <si>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</si>
  <si>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</si>
  <si>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</si>
  <si>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</si>
  <si>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</si>
  <si>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</si>
  <si>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</si>
  <si>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</si>
  <si>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</si>
  <si>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</si>
  <si>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</si>
  <si>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</si>
  <si>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</si>
  <si>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</si>
  <si>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</si>
  <si>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</si>
  <si>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</si>
  <si>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</si>
  <si>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</si>
  <si>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</si>
  <si>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</si>
  <si>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</si>
  <si>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</si>
  <si>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</si>
  <si>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</si>
  <si>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</si>
  <si>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</si>
  <si>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</si>
  <si>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</si>
  <si>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</si>
  <si>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</si>
  <si>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</si>
  <si>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</si>
  <si>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</si>
  <si>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</si>
  <si>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</si>
  <si>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</si>
  <si>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</si>
  <si>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</si>
  <si>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</si>
  <si>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</si>
  <si>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</si>
  <si>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</si>
  <si>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</si>
  <si>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</si>
  <si>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</si>
  <si>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</si>
  <si>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</si>
  <si>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</si>
  <si>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</si>
  <si>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</si>
  <si>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</si>
  <si>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</si>
  <si>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</si>
  <si>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</si>
  <si>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</si>
  <si>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</si>
  <si>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</si>
  <si>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</si>
  <si>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</si>
  <si>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</si>
  <si>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</si>
  <si>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</si>
  <si>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</si>
  <si>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</si>
  <si>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</si>
  <si>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</si>
  <si>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</si>
  <si>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</si>
  <si>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</si>
  <si>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</si>
  <si>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</si>
  <si>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</si>
  <si>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</si>
  <si>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</si>
  <si>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</si>
  <si>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</si>
  <si>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</si>
  <si>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</si>
  <si>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</si>
  <si>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</si>
  <si>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</si>
  <si>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</si>
  <si>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</si>
  <si>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</si>
  <si>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</si>
  <si>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</si>
  <si>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</si>
  <si>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</si>
  <si>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</si>
  <si>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</si>
  <si>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</si>
  <si>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</si>
  <si>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</si>
  <si>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</si>
  <si>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</si>
  <si>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</si>
  <si>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</si>
  <si>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</si>
  <si>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</si>
  <si>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</si>
  <si>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</si>
  <si>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</si>
  <si>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</si>
  <si>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</si>
  <si>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</si>
  <si>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</si>
  <si>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</si>
  <si>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</si>
  <si>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</si>
  <si>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</si>
  <si>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</si>
  <si>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</si>
  <si>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</si>
  <si>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</si>
  <si>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</si>
  <si>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</si>
  <si>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</si>
  <si>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</si>
  <si>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</si>
  <si>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</si>
  <si>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</si>
  <si>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</si>
  <si>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</si>
  <si>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</si>
  <si>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</si>
  <si>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</si>
  <si>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</si>
  <si>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</si>
  <si>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</si>
  <si>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</si>
  <si>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</si>
  <si>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</si>
  <si>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</si>
  <si>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</si>
  <si>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</si>
  <si>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</si>
  <si>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</si>
  <si>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</si>
  <si>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</si>
  <si>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</si>
  <si>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</si>
  <si>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</si>
  <si>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</si>
  <si>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</si>
  <si>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</si>
  <si>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</si>
  <si>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</si>
  <si>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</si>
  <si>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</si>
  <si>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</si>
  <si>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</si>
  <si>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</si>
  <si>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</si>
  <si>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</si>
  <si>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</si>
  <si>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</si>
  <si>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</si>
  <si>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</si>
  <si>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</si>
  <si>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</si>
  <si>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</si>
  <si>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</si>
  <si>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</si>
  <si>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</si>
  <si>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</si>
  <si>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</si>
  <si>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</si>
  <si>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</si>
  <si>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</si>
  <si>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</si>
  <si>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</si>
  <si>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</si>
  <si>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</si>
  <si>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</si>
  <si>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</si>
  <si>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</si>
  <si>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</si>
  <si>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</si>
  <si>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</si>
  <si>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</si>
  <si>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</si>
  <si>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</si>
  <si>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</si>
  <si>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</si>
  <si>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</si>
  <si>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</si>
  <si>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</si>
  <si>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</si>
  <si>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</si>
  <si>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</si>
  <si>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</si>
  <si>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</si>
  <si>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</si>
  <si>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</si>
  <si>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</si>
  <si>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</si>
  <si>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</si>
  <si>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</si>
  <si>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</si>
  <si>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</si>
  <si>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</si>
  <si>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</si>
  <si>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</si>
  <si>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</si>
  <si>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</si>
  <si>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</si>
  <si>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</si>
  <si>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</si>
  <si>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</si>
  <si>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</si>
  <si>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</si>
  <si>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</si>
  <si>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</si>
  <si>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</si>
  <si>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</si>
  <si>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</si>
  <si>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</si>
  <si>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</si>
  <si>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</si>
  <si>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</si>
  <si>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</si>
  <si>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</si>
  <si>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</si>
  <si>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</si>
  <si>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</si>
  <si>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</si>
  <si>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</si>
  <si>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</si>
  <si>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</si>
  <si>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</si>
  <si>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</si>
  <si>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</si>
  <si>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</si>
  <si>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</si>
  <si>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</si>
  <si>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</si>
  <si>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</si>
  <si>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</si>
  <si>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</si>
  <si>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</si>
  <si>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</si>
  <si>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</si>
  <si>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</si>
  <si>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</si>
  <si>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</si>
  <si>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</si>
  <si>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</si>
  <si>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</si>
  <si>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</si>
  <si>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</si>
  <si>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</si>
  <si>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</si>
  <si>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</si>
  <si>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</si>
  <si>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</si>
  <si>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</si>
  <si>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</si>
  <si>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</si>
  <si>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</si>
  <si>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</si>
  <si>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</si>
  <si>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</si>
  <si>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</si>
  <si>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</si>
  <si>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</si>
  <si>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</si>
  <si>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</si>
  <si>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</si>
  <si>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</si>
  <si>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</si>
  <si>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</si>
  <si>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</si>
  <si>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</si>
  <si>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</si>
  <si>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</si>
  <si>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</si>
  <si>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</si>
  <si>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</si>
  <si>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</si>
  <si>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</si>
  <si>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</si>
  <si>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</si>
  <si>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</si>
  <si>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</si>
  <si>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</si>
  <si>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</si>
  <si>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</si>
  <si>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</si>
  <si>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</si>
  <si>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</si>
  <si>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</si>
  <si>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</si>
  <si>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</si>
  <si>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</si>
  <si>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</si>
  <si>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</si>
  <si>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</si>
  <si>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</si>
  <si>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</si>
  <si>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</si>
  <si>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</si>
  <si>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</si>
  <si>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</si>
  <si>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</si>
  <si>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</si>
  <si>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</si>
  <si>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</si>
  <si>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</si>
  <si>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</si>
  <si>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</si>
  <si>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</si>
  <si>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</si>
  <si>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</si>
  <si>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</si>
  <si>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</si>
  <si>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</si>
  <si>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</si>
  <si>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</si>
  <si>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</si>
  <si>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</si>
  <si>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</si>
  <si>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</si>
  <si>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</si>
  <si>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</si>
  <si>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</si>
  <si>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</si>
  <si>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</si>
  <si>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</si>
  <si>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</si>
  <si>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</si>
  <si>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</si>
  <si>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</si>
  <si>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</si>
  <si>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</si>
  <si>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</si>
  <si>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</si>
  <si>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</si>
  <si>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</si>
  <si>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</si>
  <si>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</si>
  <si>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</si>
  <si>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</si>
  <si>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</si>
  <si>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</si>
  <si>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</si>
  <si>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</si>
  <si>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</si>
  <si>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</si>
  <si>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</si>
  <si>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</si>
  <si>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</si>
  <si>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</si>
  <si>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</si>
  <si>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</si>
  <si>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</si>
  <si>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</si>
  <si>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</si>
  <si>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</si>
  <si>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</si>
  <si>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</si>
  <si>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</si>
  <si>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</si>
  <si>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</si>
  <si>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</si>
  <si>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</si>
  <si>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</si>
  <si>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</si>
  <si>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</si>
  <si>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</si>
  <si>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</si>
  <si>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</si>
  <si>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</si>
  <si>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</si>
  <si>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</si>
  <si>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</si>
  <si>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</si>
  <si>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</si>
  <si>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</si>
  <si>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</si>
  <si>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</si>
  <si>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</si>
  <si>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</si>
  <si>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</si>
  <si>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</si>
  <si>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</si>
  <si>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</si>
  <si>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</si>
  <si>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</si>
  <si>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</si>
  <si>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</si>
  <si>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</si>
  <si>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</si>
  <si>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</si>
  <si>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</si>
  <si>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</si>
  <si>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</si>
  <si>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</si>
  <si>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</si>
  <si>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</si>
  <si>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</si>
  <si>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</si>
  <si>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</si>
  <si>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</si>
  <si>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</si>
  <si>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</si>
  <si>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</si>
  <si>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</si>
  <si>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</si>
  <si>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</si>
  <si>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</si>
  <si>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</si>
  <si>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</si>
  <si>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</si>
  <si>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</si>
  <si>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</si>
  <si>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</si>
  <si>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</si>
  <si>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</si>
  <si>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</si>
  <si>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</si>
  <si>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</si>
  <si>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</si>
  <si>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</si>
  <si>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</si>
  <si>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</si>
  <si>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</si>
  <si>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</si>
  <si>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</si>
  <si>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</si>
  <si>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</si>
  <si>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</si>
  <si>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</si>
  <si>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</si>
  <si>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</si>
  <si>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</si>
  <si>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</si>
  <si>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</si>
  <si>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</si>
  <si>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</si>
  <si>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</si>
  <si>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</si>
  <si>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</si>
  <si>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</si>
  <si>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</si>
  <si>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</si>
  <si>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</si>
  <si>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</si>
  <si>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</si>
  <si>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</si>
  <si>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</si>
  <si>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</si>
  <si>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</si>
  <si>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</si>
  <si>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</si>
  <si>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</si>
  <si>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</si>
  <si>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</si>
  <si>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</si>
  <si>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</si>
  <si>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</si>
  <si>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</si>
  <si>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</si>
  <si>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</si>
  <si>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</si>
  <si>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</si>
  <si>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</si>
  <si>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</si>
  <si>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</si>
  <si>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</si>
  <si>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</si>
  <si>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</si>
  <si>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</si>
  <si>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</si>
  <si>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</si>
  <si>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</si>
  <si>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</si>
  <si>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</si>
  <si>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</si>
  <si>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</si>
  <si>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</si>
  <si>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</si>
  <si>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</si>
  <si>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</si>
  <si>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</si>
  <si>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</si>
  <si>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</si>
  <si>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</si>
  <si>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</si>
  <si>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</si>
  <si>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</si>
  <si>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</si>
  <si>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</si>
  <si>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</si>
  <si>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</si>
  <si>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</si>
  <si>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</si>
  <si>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</si>
  <si>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</si>
  <si>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</si>
  <si>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</si>
  <si>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</si>
  <si>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</si>
  <si>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</si>
  <si>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</si>
  <si>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</si>
  <si>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</si>
  <si>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</si>
  <si>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</si>
  <si>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</si>
  <si>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</si>
  <si>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</si>
  <si>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</si>
  <si>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</si>
  <si>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</si>
  <si>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</si>
  <si>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</si>
  <si>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</si>
  <si>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</si>
  <si>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</si>
  <si>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</si>
  <si>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</si>
  <si>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</si>
  <si>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</si>
  <si>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</si>
  <si>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</si>
  <si>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</si>
  <si>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</si>
  <si>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</si>
  <si>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</si>
  <si>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</si>
  <si>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</si>
  <si>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</si>
  <si>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</si>
  <si>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</si>
  <si>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</si>
  <si>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</si>
  <si>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</si>
  <si>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</si>
  <si>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</si>
  <si>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</si>
  <si>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</si>
  <si>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</si>
  <si>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</si>
  <si>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</si>
  <si>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</si>
  <si>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</si>
  <si>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</si>
  <si>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</si>
  <si>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</si>
  <si>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</si>
  <si>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</si>
  <si>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</si>
  <si>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</si>
  <si>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</si>
  <si>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</si>
  <si>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</si>
  <si>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</si>
  <si>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</si>
  <si>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</si>
  <si>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</si>
  <si>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</si>
  <si>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</si>
  <si>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</si>
  <si>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</si>
  <si>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</si>
  <si>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</si>
  <si>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</si>
  <si>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</si>
  <si>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</si>
  <si>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</si>
  <si>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</si>
  <si>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</si>
  <si>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</si>
  <si>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</si>
  <si>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</si>
  <si>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</si>
  <si>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</si>
  <si>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</si>
  <si>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</si>
  <si>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</si>
  <si>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</si>
  <si>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</si>
  <si>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</si>
  <si>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</si>
  <si>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</si>
  <si>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</si>
  <si>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</si>
  <si>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</si>
  <si>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</si>
  <si>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</si>
  <si>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</si>
  <si>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</si>
  <si>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</si>
  <si>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</si>
  <si>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</si>
  <si>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</si>
  <si>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</si>
  <si>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</si>
  <si>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</si>
  <si>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</si>
  <si>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</si>
  <si>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</si>
  <si>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</si>
  <si>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</si>
  <si>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</si>
  <si>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</si>
  <si>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</si>
  <si>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</si>
  <si>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</si>
  <si>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</si>
  <si>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</si>
  <si>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</si>
  <si>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</si>
  <si>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</si>
  <si>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</si>
  <si>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</si>
  <si>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</si>
  <si>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</si>
  <si>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</si>
  <si>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</si>
  <si>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</si>
  <si>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</si>
  <si>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</si>
  <si>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</si>
  <si>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</si>
  <si>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</si>
  <si>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</si>
  <si>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</si>
  <si>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</si>
  <si>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</si>
  <si>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</si>
  <si>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</si>
  <si>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</si>
  <si>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</si>
  <si>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</si>
  <si>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</si>
  <si>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</si>
  <si>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</si>
  <si>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</si>
  <si>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</si>
  <si>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</si>
  <si>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</si>
  <si>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</si>
  <si>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</si>
  <si>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</si>
  <si>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</si>
  <si>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</si>
  <si>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</si>
  <si>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</si>
  <si>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</si>
  <si>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</si>
  <si>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</si>
  <si>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</si>
  <si>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</si>
  <si>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</si>
  <si>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</si>
  <si>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</si>
  <si>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</si>
  <si>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</si>
  <si>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</si>
  <si>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</si>
  <si>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</si>
  <si>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</si>
  <si>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</si>
  <si>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</si>
  <si>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</si>
  <si>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</si>
  <si>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</si>
  <si>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</si>
  <si>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</si>
  <si>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</si>
  <si>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</si>
  <si>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</si>
  <si>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</si>
  <si>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</si>
  <si>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</si>
  <si>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</si>
  <si>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</si>
  <si>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</si>
  <si>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</si>
  <si>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</si>
  <si>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</si>
  <si>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</si>
  <si>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</si>
  <si>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</si>
  <si>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</si>
  <si>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</si>
  <si>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</si>
  <si>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</si>
  <si>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</si>
  <si>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</si>
  <si>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</si>
  <si>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</si>
  <si>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</si>
  <si>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</si>
  <si>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</si>
  <si>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</si>
  <si>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</si>
  <si>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</si>
  <si>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</si>
  <si>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</si>
  <si>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</si>
  <si>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</si>
  <si>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</si>
  <si>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</si>
  <si>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</si>
  <si>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</si>
  <si>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</si>
  <si>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</si>
  <si>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</si>
  <si>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</si>
  <si>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</si>
  <si>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</si>
  <si>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</si>
  <si>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</si>
  <si>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</si>
  <si>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</si>
  <si>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</si>
  <si>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</si>
  <si>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</si>
  <si>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</si>
  <si>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</si>
  <si>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</si>
  <si>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</si>
  <si>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</si>
  <si>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</si>
  <si>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</si>
  <si>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</si>
  <si>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</si>
  <si>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</si>
  <si>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</si>
  <si>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</si>
  <si>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</si>
  <si>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</si>
  <si>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</si>
  <si>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</si>
  <si>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</si>
  <si>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</si>
  <si>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</si>
  <si>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</si>
  <si>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</si>
  <si>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</si>
  <si>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</si>
  <si>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</si>
  <si>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</si>
  <si>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</si>
  <si>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</si>
  <si>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</si>
  <si>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</si>
  <si>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</si>
  <si>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</si>
  <si>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</si>
  <si>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</si>
  <si>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</si>
  <si>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</si>
  <si>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</si>
  <si>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</si>
  <si>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</si>
  <si>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</si>
  <si>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</si>
  <si>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</si>
  <si>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</si>
  <si>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</si>
  <si>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</si>
  <si>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</si>
  <si>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</si>
  <si>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</si>
  <si>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</si>
  <si>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</si>
  <si>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</si>
  <si>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</si>
  <si>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</si>
  <si>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</si>
  <si>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</si>
  <si>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</si>
  <si>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</si>
  <si>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</si>
  <si>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</si>
  <si>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</si>
  <si>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</si>
  <si>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</si>
  <si>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</si>
  <si>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</si>
  <si>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</si>
  <si>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</si>
  <si>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</si>
  <si>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</si>
  <si>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</si>
  <si>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</si>
  <si>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</si>
  <si>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</si>
  <si>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</si>
  <si>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</si>
  <si>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</si>
  <si>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</si>
  <si>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</si>
  <si>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</si>
  <si>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</si>
  <si>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</si>
  <si>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</si>
  <si>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</si>
  <si>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</si>
  <si>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</si>
  <si>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</si>
  <si>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</si>
  <si>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</si>
  <si>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</si>
  <si>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</si>
  <si>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</si>
  <si>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</si>
  <si>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</si>
  <si>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</si>
  <si>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</si>
  <si>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</si>
  <si>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</si>
  <si>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</si>
  <si>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</si>
  <si>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</si>
  <si>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</si>
  <si>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</si>
  <si>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</si>
  <si>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</si>
  <si>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</si>
  <si>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</si>
  <si>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</si>
  <si>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</si>
  <si>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</si>
  <si>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</si>
  <si>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</si>
  <si>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</si>
  <si>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</si>
  <si>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</si>
  <si>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</si>
  <si>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</si>
  <si>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</si>
  <si>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</si>
  <si>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</si>
  <si>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</si>
  <si>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</si>
  <si>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</si>
  <si>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</si>
  <si>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</si>
  <si>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</si>
  <si>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</si>
  <si>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</si>
  <si>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</si>
  <si>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</si>
  <si>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</si>
  <si>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</si>
  <si>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</si>
  <si>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</si>
  <si>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</si>
  <si>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</si>
  <si>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</si>
  <si>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</si>
  <si>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</si>
  <si>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</si>
  <si>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</si>
  <si>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</si>
  <si>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</si>
  <si>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</si>
  <si>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</si>
  <si>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</si>
  <si>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</si>
  <si>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</si>
  <si>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</si>
  <si>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</si>
  <si>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</si>
  <si>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</si>
  <si>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</si>
  <si>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</si>
  <si>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</si>
  <si>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</si>
  <si>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</si>
  <si>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</si>
  <si>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</si>
  <si>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</si>
  <si>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</si>
  <si>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</si>
  <si>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</si>
  <si>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</si>
  <si>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</si>
  <si>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</si>
  <si>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</si>
  <si>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</si>
  <si>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</si>
  <si>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</si>
  <si>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</si>
  <si>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</si>
  <si>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</si>
  <si>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</si>
  <si>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</si>
  <si>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</si>
  <si>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</si>
  <si>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</si>
  <si>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</si>
  <si>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</si>
  <si>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</si>
  <si>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</si>
  <si>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</si>
  <si>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</si>
  <si>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</si>
  <si>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</si>
  <si>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</si>
  <si>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</si>
  <si>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</si>
  <si>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</si>
  <si>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</si>
  <si>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</si>
  <si>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</si>
  <si>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</si>
  <si>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</si>
  <si>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</si>
  <si>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</si>
  <si>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</si>
  <si>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</si>
  <si>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</si>
  <si>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</si>
  <si>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</si>
  <si>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</si>
  <si>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</si>
  <si>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</si>
  <si>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</si>
  <si>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</si>
  <si>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</si>
  <si>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</si>
  <si>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</si>
  <si>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</si>
  <si>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</si>
  <si>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</si>
  <si>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</si>
  <si>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</si>
  <si>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</si>
  <si>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</si>
  <si>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</si>
  <si>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</si>
  <si>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</si>
  <si>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</si>
  <si>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</si>
  <si>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</si>
  <si>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</si>
  <si>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</si>
  <si>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</si>
  <si>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</si>
  <si>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</si>
  <si>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</si>
  <si>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</si>
  <si>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</si>
  <si>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</si>
  <si>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</si>
  <si>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</si>
  <si>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</si>
  <si>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</si>
  <si>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</si>
  <si>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</si>
  <si>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</si>
  <si>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</si>
  <si>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</si>
  <si>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</si>
  <si>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</si>
  <si>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</si>
  <si>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</si>
  <si>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</si>
  <si>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</si>
  <si>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</si>
  <si>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</si>
  <si>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</si>
  <si>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</si>
  <si>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</si>
  <si>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</si>
  <si>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</si>
  <si>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</si>
  <si>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</si>
  <si>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</si>
  <si>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</si>
  <si>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</si>
  <si>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</si>
  <si>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</si>
  <si>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</si>
  <si>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</si>
  <si>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</si>
  <si>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</si>
  <si>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</si>
  <si>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</si>
  <si>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</si>
  <si>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</si>
  <si>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</si>
  <si>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</si>
  <si>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</si>
  <si>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</si>
  <si>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</si>
  <si>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</si>
  <si>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</si>
  <si>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</si>
  <si>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</si>
  <si>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</si>
  <si>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</si>
  <si>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</si>
  <si>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</si>
  <si>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</si>
  <si>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</si>
  <si>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</si>
  <si>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</si>
  <si>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</si>
  <si>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</si>
  <si>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</si>
  <si>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</si>
  <si>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</si>
  <si>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</si>
  <si>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</si>
  <si>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</si>
  <si>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</si>
  <si>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</si>
  <si>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</si>
  <si>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</si>
  <si>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</si>
  <si>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</si>
  <si>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</si>
  <si>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</si>
  <si>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</si>
  <si>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</si>
  <si>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</si>
  <si>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</si>
  <si>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</si>
  <si>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</si>
  <si>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</si>
  <si>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</si>
  <si>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</si>
  <si>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</si>
  <si>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</si>
  <si>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</si>
  <si>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</si>
  <si>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</si>
  <si>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</si>
  <si>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</si>
  <si>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</si>
  <si>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</si>
  <si>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</si>
  <si>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</si>
  <si>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</si>
  <si>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</si>
  <si>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</si>
  <si>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</si>
  <si>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</si>
  <si>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</si>
  <si>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</si>
  <si>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</si>
  <si>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</si>
  <si>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</si>
  <si>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</si>
  <si>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</si>
  <si>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</si>
  <si>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</si>
  <si>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</si>
  <si>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</si>
  <si>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</si>
  <si>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</si>
  <si>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</si>
  <si>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</si>
  <si>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</si>
  <si>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</si>
  <si>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</si>
  <si>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</si>
  <si>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</si>
  <si>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</si>
  <si>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</si>
  <si>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</si>
  <si>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</si>
  <si>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</si>
  <si>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</si>
  <si>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</si>
  <si>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</si>
  <si>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</si>
  <si>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</si>
  <si>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</si>
  <si>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</si>
  <si>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</si>
  <si>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</si>
  <si>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</si>
  <si>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</si>
  <si>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</si>
  <si>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</si>
  <si>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</si>
  <si>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</si>
  <si>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</si>
  <si>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</si>
  <si>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</si>
  <si>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</si>
  <si>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</si>
  <si>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</si>
  <si>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</si>
  <si>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</si>
  <si>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</si>
  <si>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</si>
  <si>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</si>
  <si>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</si>
  <si>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</si>
  <si>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</si>
  <si>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</si>
  <si>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</si>
  <si>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</si>
  <si>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</si>
  <si>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</si>
  <si>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</si>
  <si>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</si>
  <si>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</si>
  <si>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</si>
  <si>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</si>
  <si>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</si>
  <si>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</si>
  <si>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</si>
  <si>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</si>
  <si>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</si>
  <si>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</si>
  <si>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</si>
  <si>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</si>
  <si>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</si>
  <si>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</si>
  <si>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</si>
  <si>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</si>
  <si>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</si>
  <si>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</si>
  <si>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</si>
  <si>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</si>
  <si>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</si>
  <si>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</si>
  <si>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</si>
  <si>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</si>
  <si>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</si>
  <si>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</si>
  <si>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</si>
  <si>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</si>
  <si>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</si>
  <si>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</si>
  <si>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</si>
  <si>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</si>
  <si>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</si>
  <si>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</si>
  <si>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</si>
  <si>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</si>
  <si>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</si>
  <si>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</si>
  <si>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</si>
  <si>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</si>
  <si>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</si>
  <si>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</si>
  <si>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</si>
  <si>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</si>
  <si>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</si>
  <si>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</si>
  <si>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</si>
  <si>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</si>
  <si>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</si>
  <si>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</si>
  <si>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</si>
  <si>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</si>
  <si>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</si>
  <si>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</si>
  <si>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</si>
  <si>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</si>
  <si>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</si>
  <si>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</si>
  <si>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</si>
  <si>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</si>
  <si>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</si>
  <si>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</si>
  <si>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</si>
  <si>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</si>
  <si>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</si>
  <si>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</si>
  <si>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</si>
  <si>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</si>
  <si>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</si>
  <si>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</si>
  <si>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</si>
  <si>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</si>
  <si>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</si>
  <si>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</si>
  <si>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</si>
  <si>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</si>
  <si>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</si>
  <si>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</si>
  <si>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</si>
  <si>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</si>
  <si>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</si>
  <si>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</si>
  <si>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</si>
  <si>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</si>
  <si>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</si>
  <si>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</si>
  <si>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</si>
  <si>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</si>
  <si>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</si>
  <si>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</si>
  <si>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</si>
  <si>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</si>
  <si>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</si>
  <si>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</si>
  <si>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</si>
  <si>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</si>
  <si>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</si>
  <si>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</si>
  <si>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</si>
  <si>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</si>
  <si>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</si>
  <si>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</si>
  <si>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</si>
  <si>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</si>
  <si>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</si>
  <si>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</si>
  <si>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</si>
  <si>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</si>
  <si>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</si>
  <si>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</si>
  <si>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</si>
  <si>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</si>
  <si>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</si>
  <si>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</si>
  <si>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</si>
  <si>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</si>
  <si>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</si>
  <si>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</si>
  <si>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</si>
  <si>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</si>
  <si>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</si>
  <si>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</si>
  <si>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</si>
  <si>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</si>
  <si>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</si>
  <si>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</si>
  <si>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</si>
  <si>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</si>
  <si>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</si>
  <si>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</si>
  <si>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</si>
  <si>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</si>
  <si>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</si>
  <si>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</si>
  <si>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</si>
  <si>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</si>
  <si>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</si>
  <si>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</si>
  <si>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</si>
  <si>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</si>
  <si>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</si>
  <si>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</si>
  <si>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</si>
  <si>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</si>
  <si>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</si>
  <si>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</si>
  <si>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</si>
  <si>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</si>
  <si>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</si>
  <si>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</si>
  <si>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</si>
  <si>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</si>
  <si>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</si>
  <si>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</si>
  <si>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</si>
  <si>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</si>
  <si>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</si>
  <si>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</si>
  <si>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</si>
  <si>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</si>
  <si>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</si>
  <si>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</si>
  <si>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</si>
  <si>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</si>
  <si>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</si>
  <si>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</si>
  <si>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</si>
  <si>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</si>
  <si>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</si>
  <si>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</si>
  <si>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</si>
  <si>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</si>
  <si>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</si>
  <si>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</si>
  <si>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</si>
  <si>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</si>
  <si>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</si>
  <si>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</si>
  <si>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</si>
  <si>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</si>
  <si>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</si>
  <si>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</si>
  <si>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</si>
  <si>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</si>
  <si>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</si>
  <si>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</si>
  <si>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</si>
  <si>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</si>
  <si>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</si>
  <si>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</si>
  <si>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</si>
  <si>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</si>
  <si>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</si>
  <si>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</si>
  <si>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</si>
  <si>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</si>
  <si>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</si>
  <si>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</si>
  <si>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</si>
  <si>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</si>
  <si>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</si>
  <si>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</si>
  <si>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</si>
  <si>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</si>
  <si>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</si>
  <si>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</si>
  <si>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</si>
  <si>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</si>
  <si>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</si>
  <si>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</si>
  <si>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</si>
  <si>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</si>
  <si>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</si>
  <si>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</si>
  <si>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</si>
  <si>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</si>
  <si>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</si>
  <si>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</si>
  <si>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</si>
  <si>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</si>
  <si>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</si>
  <si>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</si>
  <si>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</si>
  <si>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</si>
  <si>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</si>
  <si>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</si>
  <si>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</si>
  <si>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</si>
  <si>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</si>
  <si>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</si>
  <si>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</si>
  <si>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</si>
  <si>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</si>
  <si>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</si>
  <si>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</si>
  <si>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</si>
  <si>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</si>
  <si>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</si>
  <si>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</si>
  <si>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</si>
  <si>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</si>
  <si>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</si>
  <si>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</si>
  <si>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</si>
  <si>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</si>
  <si>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</si>
  <si>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</si>
  <si>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</si>
  <si>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</si>
  <si>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</si>
  <si>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</si>
  <si>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</si>
  <si>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</si>
  <si>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</si>
  <si>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</si>
  <si>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</si>
  <si>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</si>
  <si>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</si>
  <si>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</si>
  <si>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</si>
  <si>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</si>
  <si>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</si>
  <si>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</si>
  <si>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</si>
  <si>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</si>
  <si>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</si>
  <si>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</si>
  <si>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</si>
  <si>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</si>
  <si>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</si>
  <si>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</si>
  <si>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</si>
  <si>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</si>
  <si>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</si>
  <si>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</si>
  <si>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</si>
  <si>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</si>
  <si>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</si>
  <si>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</si>
  <si>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</si>
  <si>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</si>
  <si>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</si>
  <si>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</si>
  <si>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</si>
  <si>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</si>
  <si>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</si>
  <si>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</si>
  <si>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</si>
  <si>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</si>
  <si>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</si>
  <si>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</si>
  <si>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</si>
  <si>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</si>
  <si>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</si>
  <si>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</si>
  <si>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</si>
  <si>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</si>
  <si>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</si>
  <si>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</si>
  <si>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</si>
  <si>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</si>
  <si>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</si>
  <si>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</si>
  <si>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</si>
  <si>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</si>
  <si>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</si>
  <si>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</si>
  <si>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</si>
  <si>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</si>
  <si>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</si>
  <si>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</si>
  <si>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</si>
  <si>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</si>
  <si>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</si>
  <si>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</si>
  <si>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</si>
  <si>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</si>
  <si>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</si>
  <si>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</si>
  <si>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</si>
  <si>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</si>
  <si>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</si>
  <si>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</si>
  <si>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</si>
  <si>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</si>
  <si>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</si>
  <si>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</si>
  <si>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</si>
  <si>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</si>
  <si>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</si>
  <si>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</si>
  <si>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</si>
  <si>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</si>
  <si>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</si>
  <si>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</si>
  <si>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</si>
  <si>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</si>
  <si>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</si>
  <si>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</si>
  <si>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</si>
  <si>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</si>
  <si>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</si>
  <si>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</si>
  <si>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</si>
  <si>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</si>
  <si>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</si>
  <si>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</si>
  <si>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</si>
  <si>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</si>
  <si>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</si>
  <si>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</si>
  <si>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</si>
  <si>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</si>
  <si>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</si>
  <si>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</si>
  <si>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</si>
  <si>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</si>
  <si>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</si>
  <si>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</si>
  <si>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</si>
  <si>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</si>
  <si>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</si>
  <si>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</si>
  <si>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</si>
  <si>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</si>
  <si>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</si>
  <si>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</si>
  <si>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</si>
  <si>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</si>
  <si>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</si>
  <si>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</si>
  <si>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</si>
  <si>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</si>
  <si>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</si>
  <si>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</si>
  <si>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</si>
  <si>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</si>
  <si>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</si>
  <si>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</si>
  <si>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</si>
  <si>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</si>
  <si>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</si>
  <si>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</si>
  <si>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</si>
  <si>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</si>
  <si>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</si>
  <si>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</si>
  <si>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</si>
  <si>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</si>
  <si>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</si>
  <si>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</si>
  <si>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</si>
  <si>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</si>
  <si>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</si>
  <si>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</si>
  <si>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</si>
  <si>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</si>
  <si>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</si>
  <si>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</si>
  <si>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</si>
  <si>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</si>
  <si>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</si>
  <si>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</si>
  <si>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</si>
  <si>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</si>
  <si>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</si>
  <si>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</si>
  <si>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</si>
  <si>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</si>
  <si>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</si>
  <si>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</si>
  <si>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</si>
  <si>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</si>
  <si>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</si>
  <si>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</si>
  <si>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</si>
  <si>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</si>
  <si>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</si>
  <si>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</si>
  <si>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</si>
  <si>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</si>
  <si>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</si>
  <si>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</si>
  <si>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</si>
  <si>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</si>
  <si>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</si>
  <si>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</si>
  <si>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</si>
  <si>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</si>
  <si>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</si>
  <si>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</si>
  <si>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</si>
  <si>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</si>
  <si>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</si>
  <si>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</si>
  <si>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</si>
  <si>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</si>
  <si>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</si>
  <si>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</si>
  <si>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</si>
  <si>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</si>
  <si>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</si>
  <si>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</si>
  <si>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</si>
  <si>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</si>
  <si>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</si>
  <si>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</si>
  <si>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</si>
  <si>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</si>
  <si>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</si>
  <si>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</si>
  <si>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</si>
  <si>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</si>
  <si>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</si>
  <si>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</si>
  <si>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</si>
  <si>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</si>
  <si>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</si>
  <si>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</si>
  <si>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</si>
  <si>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</si>
  <si>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</si>
  <si>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</si>
  <si>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</si>
  <si>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</si>
  <si>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</si>
  <si>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</si>
  <si>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</si>
  <si>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</si>
  <si>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</si>
  <si>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</si>
  <si>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</si>
  <si>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</si>
  <si>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</si>
  <si>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</si>
  <si>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</si>
  <si>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</si>
  <si>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</si>
  <si>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</si>
  <si>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</si>
  <si>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</si>
  <si>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</si>
  <si>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</si>
  <si>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</si>
  <si>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</si>
  <si>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</si>
  <si>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</si>
  <si>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</si>
  <si>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</si>
  <si>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</si>
  <si>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</si>
  <si>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</si>
  <si>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</si>
  <si>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</si>
  <si>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</si>
  <si>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</si>
  <si>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</si>
  <si>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</si>
  <si>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</si>
  <si>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</si>
  <si>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</si>
  <si>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</si>
  <si>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</si>
  <si>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</si>
  <si>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</si>
  <si>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</si>
  <si>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</si>
  <si>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</si>
  <si>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</si>
  <si>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</si>
  <si>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</si>
  <si>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</si>
  <si>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</si>
  <si>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</si>
  <si>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</si>
  <si>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</si>
  <si>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</si>
  <si>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</si>
  <si>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</si>
  <si>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</si>
  <si>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</si>
  <si>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</si>
  <si>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</si>
  <si>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</si>
  <si>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</si>
  <si>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</si>
  <si>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</si>
  <si>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</si>
  <si>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</si>
  <si>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</si>
  <si>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</si>
  <si>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</si>
  <si>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</si>
  <si>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</si>
  <si>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</si>
  <si>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</si>
  <si>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</si>
  <si>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</si>
  <si>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</si>
  <si>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</si>
  <si>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</si>
  <si>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</si>
  <si>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</si>
  <si>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</si>
  <si>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</si>
  <si>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</si>
  <si>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</si>
  <si>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</si>
  <si>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</si>
  <si>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</si>
  <si>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</si>
  <si>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</si>
  <si>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</si>
  <si>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</si>
  <si>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</si>
  <si>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</si>
  <si>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</si>
  <si>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</si>
  <si>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</si>
  <si>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</si>
  <si>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</si>
  <si>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</si>
  <si>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</si>
  <si>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</si>
  <si>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</si>
  <si>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</si>
  <si>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</si>
  <si>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</si>
  <si>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</si>
  <si>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</si>
  <si>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</si>
  <si>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</si>
  <si>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</si>
  <si>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</si>
  <si>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</si>
  <si>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</si>
  <si>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</si>
  <si>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</si>
  <si>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</si>
  <si>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</si>
  <si>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</si>
  <si>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</si>
  <si>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</si>
  <si>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</si>
  <si>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</si>
  <si>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</si>
  <si>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</si>
  <si>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</si>
  <si>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</si>
  <si>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</si>
  <si>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</si>
  <si>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</si>
  <si>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</si>
  <si>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</si>
  <si>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</si>
  <si>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</si>
  <si>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</si>
  <si>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</si>
  <si>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</si>
  <si>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</si>
  <si>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</si>
  <si>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</si>
  <si>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</si>
  <si>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</si>
  <si>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</si>
  <si>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</si>
  <si>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</si>
  <si>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</si>
  <si>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</si>
  <si>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</si>
  <si>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</si>
  <si>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</si>
  <si>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</si>
  <si>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</si>
  <si>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</si>
  <si>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</si>
  <si>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</si>
  <si>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</si>
  <si>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</si>
  <si>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</si>
  <si>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</si>
  <si>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</si>
  <si>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</si>
  <si>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</si>
  <si>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</si>
  <si>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</si>
  <si>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</si>
  <si>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</si>
  <si>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</si>
  <si>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</si>
  <si>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</si>
  <si>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</si>
  <si>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</si>
  <si>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</si>
  <si>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</si>
  <si>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</si>
  <si>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</si>
  <si>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</si>
  <si>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</si>
  <si>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</si>
  <si>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</si>
  <si>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</si>
  <si>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</si>
  <si>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</si>
  <si>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</si>
  <si>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</si>
  <si>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</si>
  <si>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</si>
  <si>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</si>
  <si>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</si>
  <si>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</si>
  <si>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</si>
  <si>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</si>
  <si>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</si>
  <si>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</si>
  <si>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</si>
  <si>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</si>
  <si>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</si>
  <si>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</si>
  <si>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</si>
  <si>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</si>
  <si>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</si>
  <si>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</si>
  <si>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</si>
  <si>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</si>
  <si>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</si>
  <si>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</si>
  <si>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</si>
  <si>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</si>
  <si>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</si>
  <si>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</si>
  <si>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</si>
  <si>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</si>
  <si>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</si>
  <si>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</si>
  <si>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</si>
  <si>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</si>
  <si>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</si>
  <si>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</si>
  <si>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</si>
  <si>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</si>
  <si>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</si>
  <si>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</si>
  <si>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</si>
  <si>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</si>
  <si>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</si>
  <si>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</si>
  <si>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</si>
  <si>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</si>
  <si>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</si>
  <si>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</si>
  <si>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</si>
  <si>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</si>
  <si>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</si>
  <si>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</si>
  <si>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</si>
  <si>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</si>
  <si>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</si>
  <si>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</si>
  <si>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</si>
  <si>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</si>
  <si>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</si>
  <si>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</si>
  <si>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</si>
  <si>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</si>
  <si>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</si>
  <si>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</si>
  <si>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</si>
  <si>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</si>
  <si>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</si>
  <si>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</si>
  <si>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</si>
  <si>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</si>
  <si>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</si>
  <si>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</si>
  <si>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</si>
  <si>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</si>
  <si>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</si>
  <si>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</si>
  <si>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</si>
  <si>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</si>
  <si>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</si>
  <si>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</si>
  <si>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</si>
  <si>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</si>
  <si>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</si>
  <si>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</si>
  <si>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</si>
  <si>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</si>
  <si>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</si>
  <si>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</si>
  <si>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</si>
  <si>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</si>
  <si>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</si>
  <si>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</si>
  <si>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</si>
  <si>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</si>
  <si>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</si>
  <si>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</si>
  <si>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</si>
  <si>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</si>
  <si>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</si>
  <si>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</si>
  <si>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</si>
  <si>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</si>
  <si>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</si>
  <si>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</si>
  <si>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</si>
  <si>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</si>
  <si>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</si>
  <si>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</si>
  <si>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</si>
  <si>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</si>
  <si>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</si>
  <si>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</si>
  <si>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</si>
  <si>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</si>
  <si>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</si>
  <si>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</si>
  <si>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</si>
  <si>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</si>
  <si>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</si>
  <si>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</si>
  <si>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</si>
  <si>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</si>
  <si>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</si>
  <si>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</si>
  <si>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</si>
  <si>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</si>
  <si>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</si>
  <si>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</si>
  <si>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</si>
  <si>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</si>
  <si>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</si>
  <si>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</si>
  <si>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</si>
  <si>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</si>
  <si>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</si>
  <si>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</si>
  <si>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</si>
  <si>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</si>
  <si>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</si>
  <si>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</si>
  <si>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</si>
  <si>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</si>
  <si>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</si>
  <si>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</si>
  <si>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</si>
  <si>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</si>
  <si>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</si>
  <si>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</si>
  <si>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</si>
  <si>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</si>
  <si>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</si>
  <si>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</si>
  <si>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</si>
  <si>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</si>
  <si>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</si>
  <si>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</si>
  <si>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</si>
  <si>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</si>
  <si>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</si>
  <si>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</si>
  <si>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</si>
  <si>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</si>
  <si>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</si>
  <si>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</si>
  <si>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</si>
  <si>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</si>
  <si>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</si>
  <si>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</si>
  <si>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</si>
  <si>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</si>
  <si>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</si>
  <si>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</si>
  <si>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</si>
  <si>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</si>
  <si>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</si>
  <si>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</si>
  <si>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出让</t>
  </si>
  <si>
    <t>地上</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</si>
  <si>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</si>
  <si>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</si>
  <si>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</si>
  <si>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</si>
  <si>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</si>
  <si>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</si>
  <si>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</si>
  <si>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</si>
  <si>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</si>
  <si>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</si>
  <si>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</si>
  <si>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</si>
  <si>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北京市朝阳区豆各庄乡水牛坊村1306-635地块R2二类居住用地、1306-636地块A8社区综合服务用地</t>
  </si>
  <si>
    <t>综合用地(含住宅)</t>
  </si>
  <si>
    <t>挂牌</t>
  </si>
  <si>
    <t>2018-01-25</t>
  </si>
  <si>
    <t>中铁房地产集团北方有限公司</t>
  </si>
  <si>
    <t>北京市朝阳孙河乡北甸西村2902-14地块R2二类居住用地</t>
  </si>
  <si>
    <t>住宅用地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</si>
  <si>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</si>
  <si>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</si>
  <si>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</si>
  <si>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</si>
  <si>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</si>
  <si>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</si>
  <si>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</si>
  <si>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</si>
  <si>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</si>
  <si>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</si>
  <si>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</si>
  <si>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</si>
  <si>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</si>
  <si>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</si>
  <si>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</si>
  <si>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</si>
  <si>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</si>
  <si>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</si>
  <si>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</si>
  <si>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</si>
  <si>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</si>
  <si>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</si>
  <si>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</si>
  <si>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</si>
  <si>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</si>
  <si>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</si>
  <si>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</si>
  <si>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</si>
  <si>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</si>
  <si>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</si>
  <si>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</si>
  <si>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</si>
  <si>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</si>
  <si>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</si>
  <si>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</si>
  <si>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</si>
  <si>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</si>
  <si>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</si>
  <si>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</si>
  <si>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</si>
  <si>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</si>
  <si>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住宅</t>
    <phoneticPr fontId="26" type="noConversion"/>
  </si>
  <si>
    <t>一般</t>
  </si>
  <si>
    <t>较好</t>
  </si>
  <si>
    <t>七通</t>
  </si>
  <si>
    <t>双面临街</t>
  </si>
  <si>
    <t>较规则</t>
  </si>
  <si>
    <t>规则</t>
    <phoneticPr fontId="26" type="noConversion"/>
  </si>
  <si>
    <t>较规则</t>
    <phoneticPr fontId="26" type="noConversion"/>
  </si>
  <si>
    <t>较不规则</t>
    <phoneticPr fontId="26" type="noConversion"/>
  </si>
  <si>
    <t>不规则</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</si>
  <si>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</si>
  <si>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</si>
  <si>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</si>
  <si>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</si>
  <si>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</si>
  <si>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</si>
  <si>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</si>
  <si>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</si>
  <si>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</si>
  <si>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</si>
  <si>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</si>
  <si>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</si>
  <si>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</si>
  <si>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</si>
  <si>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</si>
  <si>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</si>
  <si>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比较法-住宅、综合</t>
  </si>
  <si>
    <t>剩余法-待开发</t>
  </si>
  <si>
    <t>出让金</t>
    <phoneticPr fontId="9" type="noConversion"/>
  </si>
  <si>
    <t>2018-1-0152-P01DYGJ1</t>
    <phoneticPr fontId="6" type="noConversion"/>
  </si>
  <si>
    <t>欧红伟</t>
  </si>
  <si>
    <t>梁津</t>
  </si>
  <si>
    <t>中诚信托</t>
    <phoneticPr fontId="6" type="noConversion"/>
  </si>
  <si>
    <t>抵押</t>
  </si>
  <si>
    <t>抵押价格</t>
  </si>
  <si>
    <t>朝阳区京顺路来广营东路（雍景桃源一期）</t>
    <phoneticPr fontId="6" type="noConversion"/>
  </si>
  <si>
    <t>企业</t>
  </si>
  <si>
    <t>别墅式公寓、会所及其他配套设施</t>
    <phoneticPr fontId="6" type="noConversion"/>
  </si>
  <si>
    <t>住宅</t>
    <phoneticPr fontId="6" type="noConversion"/>
  </si>
  <si>
    <t>估价委托人介绍及面积说明</t>
    <phoneticPr fontId="6" type="noConversion"/>
  </si>
  <si>
    <t>一致</t>
  </si>
  <si>
    <t>《面积说明》</t>
    <phoneticPr fontId="3" type="noConversion"/>
  </si>
  <si>
    <t>《国有土地使用证》[京朝国用（2009出）第0475号]</t>
    <phoneticPr fontId="3" type="noConversion"/>
  </si>
  <si>
    <t>否</t>
  </si>
  <si>
    <t>居住项目</t>
  </si>
  <si>
    <t>无</t>
  </si>
  <si>
    <t>场地平整</t>
  </si>
  <si>
    <t>平整</t>
  </si>
  <si>
    <t>通路</t>
  </si>
  <si>
    <t>通电</t>
  </si>
  <si>
    <t>通讯</t>
  </si>
  <si>
    <t>通上水</t>
  </si>
  <si>
    <t>通下水</t>
  </si>
  <si>
    <t>通热</t>
  </si>
  <si>
    <t>燃气</t>
  </si>
  <si>
    <t>250合院</t>
  </si>
  <si>
    <t>250合院</t>
    <phoneticPr fontId="14" type="noConversion"/>
  </si>
  <si>
    <r>
      <t>200</t>
    </r>
    <r>
      <rPr>
        <sz val="11"/>
        <color theme="1"/>
        <rFont val="宋体"/>
        <family val="3"/>
        <charset val="134"/>
      </rPr>
      <t>合院</t>
    </r>
    <phoneticPr fontId="14" type="noConversion"/>
  </si>
  <si>
    <r>
      <t>180</t>
    </r>
    <r>
      <rPr>
        <sz val="11"/>
        <color theme="1"/>
        <rFont val="宋体"/>
        <family val="3"/>
        <charset val="134"/>
      </rPr>
      <t>叠拼</t>
    </r>
    <phoneticPr fontId="14" type="noConversion"/>
  </si>
  <si>
    <t>200合院</t>
  </si>
  <si>
    <t>180叠拼</t>
  </si>
  <si>
    <t>合院</t>
    <phoneticPr fontId="7" type="noConversion"/>
  </si>
  <si>
    <t>叠拼</t>
    <phoneticPr fontId="7" type="noConversion"/>
  </si>
  <si>
    <t xml:space="preserve">瑞湾家园 </t>
    <phoneticPr fontId="3" type="noConversion"/>
  </si>
  <si>
    <t>住宅</t>
    <phoneticPr fontId="21" type="noConversion"/>
  </si>
  <si>
    <t>60-70（含）</t>
  </si>
  <si>
    <t>40-50（含）</t>
  </si>
  <si>
    <t>独栋</t>
    <phoneticPr fontId="3" type="noConversion"/>
  </si>
  <si>
    <t>类独栋</t>
    <phoneticPr fontId="3" type="noConversion"/>
  </si>
  <si>
    <t>双拼</t>
    <phoneticPr fontId="3" type="noConversion"/>
  </si>
  <si>
    <t>联排</t>
    <phoneticPr fontId="3" type="noConversion"/>
  </si>
  <si>
    <t>叠拼</t>
    <phoneticPr fontId="3" type="noConversion"/>
  </si>
  <si>
    <t>合院</t>
  </si>
  <si>
    <t>合院</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</si>
  <si>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</si>
  <si>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</si>
  <si>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</si>
  <si>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</si>
  <si>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</si>
  <si>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</si>
  <si>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</si>
  <si>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</si>
  <si>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</si>
  <si>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</si>
  <si>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</si>
  <si>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</si>
  <si>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</si>
  <si>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</si>
  <si>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</si>
  <si>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</si>
  <si>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叠拼</t>
  </si>
  <si>
    <t>钢混</t>
  </si>
  <si>
    <t>高档</t>
  </si>
  <si>
    <t>精装修</t>
  </si>
  <si>
    <t>专业</t>
  </si>
  <si>
    <t>毛坯</t>
  </si>
  <si>
    <t>朝阳区香江北路向北1500米</t>
    <phoneticPr fontId="3" type="noConversion"/>
  </si>
  <si>
    <t>独栋</t>
  </si>
  <si>
    <t>售价</t>
  </si>
  <si>
    <t>项目位置京密路与顺黄路交叉路口往西200米</t>
    <phoneticPr fontId="3" type="noConversion"/>
  </si>
  <si>
    <t>昭泰典尚家园</t>
    <phoneticPr fontId="3" type="noConversion"/>
  </si>
  <si>
    <t>估价对象周边居住用地较多、周边有首开琅樾、泰禾北京院子，综合评价居住社区成熟度较好</t>
    <phoneticPr fontId="21" type="noConversion"/>
  </si>
  <si>
    <t>估价对象周边居住用地较多、周边有首开琅樾、中粮瑞府，综合评价居住社区成熟度较好</t>
    <phoneticPr fontId="21" type="noConversion"/>
  </si>
  <si>
    <t>观承别墅</t>
    <phoneticPr fontId="21" type="noConversion"/>
  </si>
  <si>
    <t>高丽营镇于庄机场北线高速与高白路交汇处向北1公里路西</t>
    <phoneticPr fontId="21"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</si>
  <si>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叠拼</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</si>
  <si>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合院</t>
    </r>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</si>
</sst>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indexed="8"/>
      <name val="Arial"/>
      <family val="2"/>
      <charset val="134"/>
    </font>
    <font>
      <sz val="11"/>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285" fillId="0" borderId="2" xfId="0" applyNumberFormat="1" applyFont="1" applyFill="1" applyBorder="1" applyAlignment="1" applyProtection="1">
      <alignment horizontal="center" vertical="center" wrapText="1"/>
      <protection locked="0"/>
    </xf>
    <xf numFmtId="0" fontId="285" fillId="0" borderId="44" xfId="0" applyNumberFormat="1" applyFont="1" applyFill="1" applyBorder="1" applyAlignment="1" applyProtection="1">
      <alignment horizontal="center" vertical="center" wrapText="1"/>
      <protection locked="0"/>
    </xf>
    <xf numFmtId="0" fontId="286" fillId="0" borderId="4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19977;&#26376;&#22312;&#23478;\&#23828;&#21508;&#24196;&#22303;&#22320;\P0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2977</v>
      </c>
      <c r="B1" s="3182"/>
      <c r="C1" s="3183"/>
      <c r="D1" s="3184"/>
      <c r="E1" s="3185" t="s">
        <v>2978</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2979</v>
      </c>
      <c r="B2" s="3194" t="e">
        <f ca="1">ROUND(D2/10000,0)</f>
        <v>#DIV/0!</v>
      </c>
      <c r="C2" s="3195" t="s">
        <v>2980</v>
      </c>
      <c r="D2" s="3196" t="e">
        <f ca="1">C40+J29+L46</f>
        <v>#DIV/0!</v>
      </c>
      <c r="E2" s="3197" t="s">
        <v>2981</v>
      </c>
      <c r="F2" s="3198"/>
      <c r="G2" s="3199"/>
      <c r="H2" s="3200"/>
      <c r="I2" s="3200"/>
      <c r="J2" s="3200"/>
      <c r="K2" s="3201"/>
      <c r="L2" s="3200"/>
      <c r="M2" s="3200"/>
    </row>
    <row r="3" spans="1:37" ht="18" customHeight="1" thickBot="1">
      <c r="A3" s="3204" t="s">
        <v>2982</v>
      </c>
      <c r="B3" s="3205">
        <f ca="1">IF(ISERROR(D2/F43),0,ROUND(D2/F43,0))</f>
        <v>0</v>
      </c>
      <c r="C3" s="3195" t="s">
        <v>2983</v>
      </c>
      <c r="D3" s="3195"/>
      <c r="E3" s="3197"/>
      <c r="F3" s="3198"/>
      <c r="G3" s="3199"/>
      <c r="H3" s="3206" t="s">
        <v>2984</v>
      </c>
      <c r="I3" s="3200"/>
      <c r="J3" s="3200"/>
      <c r="K3" s="3201"/>
      <c r="L3" s="3200"/>
      <c r="M3" s="3200"/>
    </row>
    <row r="4" spans="1:37" ht="18" customHeight="1">
      <c r="A4" s="3207" t="s">
        <v>2985</v>
      </c>
      <c r="B4" s="3208" t="s">
        <v>2986</v>
      </c>
      <c r="C4" s="3208" t="s">
        <v>2987</v>
      </c>
      <c r="D4" s="3208" t="s">
        <v>2988</v>
      </c>
      <c r="E4" s="3209" t="s">
        <v>2989</v>
      </c>
      <c r="F4" s="3210"/>
      <c r="G4" s="3211"/>
      <c r="H4" s="3207" t="s">
        <v>2990</v>
      </c>
      <c r="I4" s="3208" t="s">
        <v>2991</v>
      </c>
      <c r="J4" s="3208" t="s">
        <v>2992</v>
      </c>
      <c r="K4" s="3208" t="s">
        <v>2993</v>
      </c>
      <c r="L4" s="3209" t="s">
        <v>2989</v>
      </c>
      <c r="M4" s="3210"/>
    </row>
    <row r="5" spans="1:37" ht="18" customHeight="1">
      <c r="A5" s="3212">
        <v>1</v>
      </c>
      <c r="B5" s="3213" t="s">
        <v>2994</v>
      </c>
      <c r="C5" s="3214">
        <f ca="1">C6+C10+C12</f>
        <v>0</v>
      </c>
      <c r="D5" s="3215" t="s">
        <v>2995</v>
      </c>
      <c r="E5" s="3216"/>
      <c r="F5" s="3217"/>
      <c r="G5" s="3211"/>
      <c r="H5" s="3212">
        <v>1</v>
      </c>
      <c r="I5" s="3213" t="s">
        <v>2994</v>
      </c>
      <c r="J5" s="3214">
        <f ca="1">J6+J10+J12</f>
        <v>0</v>
      </c>
      <c r="K5" s="3215" t="s">
        <v>2995</v>
      </c>
      <c r="L5" s="3216"/>
      <c r="M5" s="3217"/>
    </row>
    <row r="6" spans="1:37" ht="18" customHeight="1">
      <c r="A6" s="3218" t="s">
        <v>2996</v>
      </c>
      <c r="B6" s="3498" t="s">
        <v>2997</v>
      </c>
      <c r="C6" s="3219">
        <f ca="1">ROUND(F6*F8*F7*(1-F9),0)</f>
        <v>0</v>
      </c>
      <c r="D6" s="3220" t="s">
        <v>2998</v>
      </c>
      <c r="E6" s="3221" t="s">
        <v>2999</v>
      </c>
      <c r="F6" s="3222">
        <f ca="1">INDIRECT("'数据-取费表'!u"&amp;$G$1)</f>
        <v>0</v>
      </c>
      <c r="G6" s="3211"/>
      <c r="H6" s="3218" t="s">
        <v>2996</v>
      </c>
      <c r="I6" s="3498" t="s">
        <v>2997</v>
      </c>
      <c r="J6" s="3223">
        <f ca="1">ROUND(M6*M8*M7*(1-M9),0)</f>
        <v>0</v>
      </c>
      <c r="K6" s="3224" t="s">
        <v>3000</v>
      </c>
      <c r="L6" s="3221" t="s">
        <v>2999</v>
      </c>
      <c r="M6" s="3222">
        <f ca="1">INDIRECT("'数据-取费表'!z"&amp;$G$1)</f>
        <v>0</v>
      </c>
    </row>
    <row r="7" spans="1:37" ht="18" customHeight="1">
      <c r="A7" s="3225"/>
      <c r="B7" s="3499"/>
      <c r="C7" s="3226"/>
      <c r="D7" s="3227"/>
      <c r="E7" s="3228" t="s">
        <v>3001</v>
      </c>
      <c r="F7" s="3222">
        <f ca="1">IF(INDIRECT("'数据-取费表'!ah"&amp;$G$1)="",INDIRECT("'数据-取费表'!k"&amp;$G$1),INDIRECT("'数据-取费表'!ah"&amp;$G$1))</f>
        <v>19492.18</v>
      </c>
      <c r="G7" s="3211"/>
      <c r="H7" s="3229"/>
      <c r="I7" s="3499"/>
      <c r="J7" s="3230"/>
      <c r="K7" s="3227"/>
      <c r="L7" s="3221" t="s">
        <v>3001</v>
      </c>
      <c r="M7" s="3222">
        <f ca="1">F7</f>
        <v>19492.18</v>
      </c>
    </row>
    <row r="8" spans="1:37" ht="18" customHeight="1">
      <c r="A8" s="3229"/>
      <c r="B8" s="3499"/>
      <c r="C8" s="3230"/>
      <c r="D8" s="3227"/>
      <c r="E8" s="3221" t="s">
        <v>3002</v>
      </c>
      <c r="F8" s="3222">
        <f ca="1">INDIRECT("'数据-取费表'!ai"&amp;$G$1)</f>
        <v>0</v>
      </c>
      <c r="G8" s="3211"/>
      <c r="H8" s="3229"/>
      <c r="I8" s="3499"/>
      <c r="J8" s="3230"/>
      <c r="K8" s="3227"/>
      <c r="L8" s="3221" t="s">
        <v>3002</v>
      </c>
      <c r="M8" s="3222">
        <f ca="1">INDIRECT("'数据-取费表'!ai"&amp;$G$1)</f>
        <v>0</v>
      </c>
    </row>
    <row r="9" spans="1:37" ht="18" customHeight="1">
      <c r="A9" s="3229"/>
      <c r="B9" s="3500"/>
      <c r="C9" s="3230"/>
      <c r="D9" s="3227"/>
      <c r="E9" s="3221" t="s">
        <v>3003</v>
      </c>
      <c r="F9" s="3231">
        <f ca="1">INDIRECT("'数据-取费表'!w"&amp;$G$1)</f>
        <v>0</v>
      </c>
      <c r="G9" s="3211"/>
      <c r="H9" s="3229"/>
      <c r="I9" s="3500"/>
      <c r="J9" s="3230"/>
      <c r="K9" s="3227"/>
      <c r="L9" s="3232" t="s">
        <v>3003</v>
      </c>
      <c r="M9" s="3233">
        <f ca="1">INDIRECT("'数据-取费表'!ab"&amp;$G$1)</f>
        <v>0</v>
      </c>
    </row>
    <row r="10" spans="1:37" ht="18" customHeight="1">
      <c r="A10" s="3218" t="s">
        <v>3004</v>
      </c>
      <c r="B10" s="3234" t="s">
        <v>3005</v>
      </c>
      <c r="C10" s="3235">
        <f>ROUND(IF(F10="押一",F6*F8*F7/12*F11,IF(F10="押二",F6*F8*F7/12*2*F11,IF(F10="押三",F6*F8*F7/12*3*F11,C11*F11))),0)</f>
        <v>0</v>
      </c>
      <c r="D10" s="3236" t="s">
        <v>3006</v>
      </c>
      <c r="E10" s="3232" t="s">
        <v>3007</v>
      </c>
      <c r="F10" s="3237"/>
      <c r="G10" s="3211"/>
      <c r="H10" s="3218" t="s">
        <v>3004</v>
      </c>
      <c r="I10" s="3234" t="s">
        <v>3005</v>
      </c>
      <c r="J10" s="3223">
        <f>ROUND(IF(M10="押一",M6*M8*M7/12*M11,IF(M10="押二",M6*M8*M7/12*2*M11,IF(M10="押三",M6*M8*M7/12*3*M11,J11*M11))),0)</f>
        <v>0</v>
      </c>
      <c r="K10" s="3238" t="s">
        <v>3008</v>
      </c>
      <c r="L10" s="3232" t="s">
        <v>3007</v>
      </c>
      <c r="M10" s="3237"/>
    </row>
    <row r="11" spans="1:37" ht="18" customHeight="1">
      <c r="A11" s="3239"/>
      <c r="B11" s="3240" t="s">
        <v>3009</v>
      </c>
      <c r="C11" s="3241"/>
      <c r="D11" s="3227"/>
      <c r="E11" s="3232" t="s">
        <v>3010</v>
      </c>
      <c r="F11" s="3233">
        <f>'[1]数据-取费表'!B39</f>
        <v>0</v>
      </c>
      <c r="G11" s="3211"/>
      <c r="H11" s="3242"/>
      <c r="I11" s="3240" t="s">
        <v>3011</v>
      </c>
      <c r="J11" s="3241"/>
      <c r="K11" s="3243"/>
      <c r="L11" s="3232" t="s">
        <v>3010</v>
      </c>
      <c r="M11" s="3244">
        <f>'[1]数据-取费表'!B39</f>
        <v>0</v>
      </c>
    </row>
    <row r="12" spans="1:37" ht="18" customHeight="1" thickBot="1">
      <c r="A12" s="3245" t="s">
        <v>3012</v>
      </c>
      <c r="B12" s="3246" t="s">
        <v>3013</v>
      </c>
      <c r="C12" s="3247"/>
      <c r="D12" s="3248"/>
      <c r="E12" s="3249"/>
      <c r="F12" s="3250"/>
      <c r="G12" s="3211"/>
      <c r="H12" s="3245" t="s">
        <v>3012</v>
      </c>
      <c r="I12" s="3246" t="s">
        <v>3013</v>
      </c>
      <c r="J12" s="3247"/>
      <c r="K12" s="3251"/>
      <c r="L12" s="3249"/>
      <c r="M12" s="3252"/>
    </row>
    <row r="13" spans="1:37" ht="18" customHeight="1" thickTop="1">
      <c r="A13" s="3253">
        <v>2</v>
      </c>
      <c r="B13" s="3254" t="s">
        <v>3014</v>
      </c>
      <c r="C13" s="3255">
        <f ca="1">ROUND(C29*F13,0)</f>
        <v>0</v>
      </c>
      <c r="D13" s="3256" t="s">
        <v>3015</v>
      </c>
      <c r="E13" s="3256" t="s">
        <v>3016</v>
      </c>
      <c r="F13" s="3257">
        <f ca="1">INDIRECT("'数据-取费表'!y"&amp;$G$1)</f>
        <v>0</v>
      </c>
      <c r="G13" s="3211"/>
      <c r="H13" s="3253">
        <v>2</v>
      </c>
      <c r="I13" s="3254" t="s">
        <v>3014</v>
      </c>
      <c r="J13" s="3258">
        <f ca="1">ROUND(J14*J15,0)</f>
        <v>0</v>
      </c>
      <c r="K13" s="3259" t="s">
        <v>3015</v>
      </c>
      <c r="L13" s="3260"/>
      <c r="M13" s="3261"/>
    </row>
    <row r="14" spans="1:37" ht="18" customHeight="1">
      <c r="A14" s="3262" t="s">
        <v>3017</v>
      </c>
      <c r="B14" s="3221" t="s">
        <v>3018</v>
      </c>
      <c r="C14" s="3263">
        <f ca="1">ROUND(INDIRECT("'数据-取费表'!l"&amp;$G$1)*F43+'[1]数据-取费表'!L14*INDIRECT("'数据-取费表'!S"&amp;$G$1),0)</f>
        <v>68222630</v>
      </c>
      <c r="D14" s="3264" t="s">
        <v>3019</v>
      </c>
      <c r="E14" s="3265"/>
      <c r="F14" s="3266"/>
      <c r="G14" s="3211"/>
      <c r="H14" s="3262" t="s">
        <v>3020</v>
      </c>
      <c r="I14" s="3221" t="s">
        <v>3021</v>
      </c>
      <c r="J14" s="3267">
        <f ca="1">C29</f>
        <v>81867156</v>
      </c>
      <c r="K14" s="3268"/>
      <c r="L14" s="3269"/>
      <c r="M14" s="3270"/>
    </row>
    <row r="15" spans="1:37" s="3279" customFormat="1" ht="18" customHeight="1" thickBot="1">
      <c r="A15" s="3262" t="s">
        <v>3022</v>
      </c>
      <c r="B15" s="3221" t="s">
        <v>3023</v>
      </c>
      <c r="C15" s="3267">
        <f ca="1">ROUND(C14*F15,0)</f>
        <v>0</v>
      </c>
      <c r="D15" s="3271" t="s">
        <v>3024</v>
      </c>
      <c r="E15" s="3271" t="s">
        <v>3025</v>
      </c>
      <c r="F15" s="3272">
        <f>'[1]数据-取费表'!B33</f>
        <v>0</v>
      </c>
      <c r="G15" s="3273"/>
      <c r="H15" s="3274" t="s">
        <v>3004</v>
      </c>
      <c r="I15" s="3249" t="s">
        <v>3016</v>
      </c>
      <c r="J15" s="3252">
        <f ca="1">INDIRECT("'数据-取费表'!ad"&amp;$G$1)</f>
        <v>0</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3026</v>
      </c>
      <c r="B16" s="3221" t="s">
        <v>3027</v>
      </c>
      <c r="C16" s="3267">
        <f ca="1">ROUND(INDIRECT("'数据-取费表'!l"&amp;$G$1)*F43*F16,0)</f>
        <v>0</v>
      </c>
      <c r="D16" s="3221" t="s">
        <v>3028</v>
      </c>
      <c r="E16" s="3221" t="s">
        <v>3029</v>
      </c>
      <c r="F16" s="3280">
        <f ca="1">IF(INDIRECT("'数据-取费表'!c"&amp;$G$1)="住宅",'[1]数据-取费表'!B34,0)</f>
        <v>0</v>
      </c>
      <c r="G16" s="3211"/>
      <c r="H16" s="3253" t="s">
        <v>3030</v>
      </c>
      <c r="I16" s="3254" t="s">
        <v>3031</v>
      </c>
      <c r="J16" s="3255">
        <f ca="1">ROUND(J17+J22+J23+J24,0)</f>
        <v>687684</v>
      </c>
      <c r="K16" s="3259" t="s">
        <v>3032</v>
      </c>
      <c r="L16" s="3281"/>
      <c r="M16" s="3217"/>
    </row>
    <row r="17" spans="1:37" s="3279" customFormat="1" ht="18" customHeight="1">
      <c r="A17" s="3262" t="s">
        <v>3033</v>
      </c>
      <c r="B17" s="3221" t="s">
        <v>3034</v>
      </c>
      <c r="C17" s="3267">
        <f ca="1">ROUND(F17*(F43+INDIRECT("'数据-取费表'!S"&amp;$G$1)),0)</f>
        <v>0</v>
      </c>
      <c r="D17" s="3221" t="s">
        <v>3035</v>
      </c>
      <c r="E17" s="3221" t="s">
        <v>3036</v>
      </c>
      <c r="F17" s="3282">
        <f>'[1]数据-取费表'!B35</f>
        <v>0</v>
      </c>
      <c r="G17" s="3273"/>
      <c r="H17" s="3262" t="s">
        <v>2996</v>
      </c>
      <c r="I17" s="3221" t="s">
        <v>3037</v>
      </c>
      <c r="J17" s="3267">
        <f ca="1">ROUND(IF([1]项目基本情况!B11="自然人",J5*M17,J18+J19+J20),0)</f>
        <v>687684</v>
      </c>
      <c r="K17" s="3264" t="s">
        <v>3038</v>
      </c>
      <c r="L17" s="3283" t="s">
        <v>3039</v>
      </c>
      <c r="M17" s="3284">
        <f ca="1">IF([1]项目基本情况!B11="企业","",IF(INDIRECT("'数据-取费表'!c"&amp;$G$1)="住宅",5%,IF(M6*M7*M8/12/(1+'[1]数据-取费表'!C42)&gt;20000,12%,7%)))</f>
        <v>0.05</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3040</v>
      </c>
      <c r="B18" s="3221" t="s">
        <v>3041</v>
      </c>
      <c r="C18" s="3267">
        <f ca="1">ROUND(C14*F18,0)</f>
        <v>0</v>
      </c>
      <c r="D18" s="3221" t="s">
        <v>3024</v>
      </c>
      <c r="E18" s="3221" t="s">
        <v>3025</v>
      </c>
      <c r="F18" s="3280">
        <f>'[1]数据-取费表'!B36</f>
        <v>0</v>
      </c>
      <c r="G18" s="3273"/>
      <c r="H18" s="3262" t="s">
        <v>3017</v>
      </c>
      <c r="I18" s="3221" t="s">
        <v>3042</v>
      </c>
      <c r="J18" s="3267">
        <f ca="1">ROUND(J5*M18/(1+'[1]数据-取费表'!C42),0)</f>
        <v>0</v>
      </c>
      <c r="K18" s="3283" t="s">
        <v>3043</v>
      </c>
      <c r="L18" s="3221" t="s">
        <v>3029</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3020</v>
      </c>
      <c r="B19" s="3221" t="s">
        <v>3044</v>
      </c>
      <c r="C19" s="3267">
        <f ca="1">SUM(C14:C18)</f>
        <v>68222630</v>
      </c>
      <c r="D19" s="3285" t="s">
        <v>3045</v>
      </c>
      <c r="E19" s="3286"/>
      <c r="F19" s="3282"/>
      <c r="G19" s="3211"/>
      <c r="H19" s="3262" t="s">
        <v>3022</v>
      </c>
      <c r="I19" s="3221" t="s">
        <v>3046</v>
      </c>
      <c r="J19" s="3267">
        <f ca="1">IF(K19="按租金收入计税",ROUND(J5*M19,0),ROUND(C29*M19*0.7,0))</f>
        <v>687684</v>
      </c>
      <c r="K19" s="3287" t="s">
        <v>3047</v>
      </c>
      <c r="L19" s="3221" t="s">
        <v>3025</v>
      </c>
      <c r="M19" s="3280">
        <f>IF(K19="按租金收入计税",'[1]数据-取费表'!B51,'[1]数据-取费表'!B50)</f>
        <v>1.2E-2</v>
      </c>
    </row>
    <row r="20" spans="1:37" s="3279" customFormat="1" ht="18" customHeight="1">
      <c r="A20" s="3262" t="s">
        <v>3004</v>
      </c>
      <c r="B20" s="3221" t="s">
        <v>3048</v>
      </c>
      <c r="C20" s="3267">
        <f ca="1">ROUND(C19*F20,0)</f>
        <v>0</v>
      </c>
      <c r="D20" s="3288" t="s">
        <v>3049</v>
      </c>
      <c r="E20" s="3221" t="s">
        <v>3025</v>
      </c>
      <c r="F20" s="3280">
        <f>'[1]数据-取费表'!B37</f>
        <v>0</v>
      </c>
      <c r="G20" s="3273"/>
      <c r="H20" s="3262" t="s">
        <v>3026</v>
      </c>
      <c r="I20" s="3220" t="s">
        <v>3050</v>
      </c>
      <c r="J20" s="3289">
        <f ca="1">ROUND(M20*M21,0)</f>
        <v>0</v>
      </c>
      <c r="K20" s="3290" t="s">
        <v>3051</v>
      </c>
      <c r="L20" s="3221" t="s">
        <v>3052</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3012</v>
      </c>
      <c r="B21" s="3221" t="s">
        <v>3053</v>
      </c>
      <c r="C21" s="3267" t="s">
        <v>3054</v>
      </c>
      <c r="D21" s="3288" t="s">
        <v>3055</v>
      </c>
      <c r="E21" s="3221" t="s">
        <v>3056</v>
      </c>
      <c r="F21" s="3280">
        <f>'[1]数据-取费表'!B38</f>
        <v>0</v>
      </c>
      <c r="G21" s="3273"/>
      <c r="H21" s="3292"/>
      <c r="I21" s="3293"/>
      <c r="J21" s="3294"/>
      <c r="K21" s="3295"/>
      <c r="L21" s="3221" t="s">
        <v>3057</v>
      </c>
      <c r="M21" s="3222">
        <f ca="1">INDIRECT("'数据-取费表'!r"&amp;$G$1)</f>
        <v>18563.98</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3058</v>
      </c>
      <c r="B22" s="3221" t="s">
        <v>3059</v>
      </c>
      <c r="C22" s="3267"/>
      <c r="D22" s="3285" t="str">
        <f>IF(F23&lt;=1,"单利计息。","复利计息。")&amp;"建造成本、管理费用、销售费用产生的利息。"</f>
        <v>单利计息。建造成本、管理费用、销售费用产生的利息。</v>
      </c>
      <c r="E22" s="3286"/>
      <c r="F22" s="3282"/>
      <c r="G22" s="3211"/>
      <c r="H22" s="3262" t="s">
        <v>3004</v>
      </c>
      <c r="I22" s="3221" t="s">
        <v>3060</v>
      </c>
      <c r="J22" s="3267">
        <f ca="1">ROUND(J14*M22,0)</f>
        <v>0</v>
      </c>
      <c r="K22" s="3283" t="s">
        <v>3061</v>
      </c>
      <c r="L22" s="3221" t="s">
        <v>3025</v>
      </c>
      <c r="M22" s="3296">
        <f ca="1">INDIRECT("'数据-取费表'!Ak"&amp;$G$1)</f>
        <v>0</v>
      </c>
    </row>
    <row r="23" spans="1:37" s="3279" customFormat="1" ht="18" customHeight="1">
      <c r="A23" s="3262" t="s">
        <v>3017</v>
      </c>
      <c r="B23" s="3221" t="s">
        <v>3062</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3063</v>
      </c>
      <c r="F23" s="3291">
        <f>'[1]数据-取费表'!B20</f>
        <v>0</v>
      </c>
      <c r="G23" s="3273"/>
      <c r="H23" s="3262" t="s">
        <v>3012</v>
      </c>
      <c r="I23" s="3221" t="s">
        <v>3064</v>
      </c>
      <c r="J23" s="3267">
        <f ca="1">ROUND(J13*M23,0)</f>
        <v>0</v>
      </c>
      <c r="K23" s="3283" t="s">
        <v>3065</v>
      </c>
      <c r="L23" s="3221" t="s">
        <v>3025</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3066</v>
      </c>
      <c r="B24" s="3221" t="s">
        <v>3067</v>
      </c>
      <c r="C24" s="3267">
        <f>ROUND(IF('[1]数据-取费表'!B22&lt;=1,F21*F24*F23/2,F21*(POWER((1+F24),F23/2)-1)),4)</f>
        <v>0</v>
      </c>
      <c r="D24" s="3297" t="str">
        <f>IF(F23&lt;=1,"销售费用×利率×(建设周期÷2)","销售费用×((1+利率)^(建设周期÷2)-1)")</f>
        <v>销售费用×利率×(建设周期÷2)</v>
      </c>
      <c r="E24" s="3221" t="s">
        <v>3068</v>
      </c>
      <c r="F24" s="3299">
        <f>'[1]数据-取费表'!B40</f>
        <v>0</v>
      </c>
      <c r="G24" s="3273"/>
      <c r="H24" s="3274" t="s">
        <v>3058</v>
      </c>
      <c r="I24" s="3249" t="s">
        <v>3048</v>
      </c>
      <c r="J24" s="3300">
        <f ca="1">ROUND(J5*M24,0)</f>
        <v>0</v>
      </c>
      <c r="K24" s="3301" t="s">
        <v>3069</v>
      </c>
      <c r="L24" s="3249" t="s">
        <v>3025</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3070</v>
      </c>
      <c r="B25" s="3221" t="s">
        <v>3071</v>
      </c>
      <c r="C25" s="3267"/>
      <c r="D25" s="3285" t="s">
        <v>3072</v>
      </c>
      <c r="E25" s="3286"/>
      <c r="F25" s="3282"/>
      <c r="G25" s="3211"/>
      <c r="H25" s="3253" t="s">
        <v>3073</v>
      </c>
      <c r="I25" s="3302" t="s">
        <v>3074</v>
      </c>
      <c r="J25" s="3255">
        <f ca="1">J5-J16</f>
        <v>-687684</v>
      </c>
      <c r="K25" s="3303" t="s">
        <v>3075</v>
      </c>
      <c r="L25" s="3304"/>
      <c r="M25" s="3305"/>
    </row>
    <row r="26" spans="1:37" ht="18" customHeight="1">
      <c r="A26" s="3262" t="s">
        <v>3017</v>
      </c>
      <c r="B26" s="3221" t="s">
        <v>3076</v>
      </c>
      <c r="C26" s="3267">
        <f ca="1">ROUND((C19+C20)*F26,0)</f>
        <v>13644526</v>
      </c>
      <c r="D26" s="3288" t="s">
        <v>3077</v>
      </c>
      <c r="E26" s="3232" t="s">
        <v>3078</v>
      </c>
      <c r="F26" s="3231">
        <f ca="1">INDIRECT("'数据-取费表'!q"&amp;$G$1)</f>
        <v>0.2</v>
      </c>
      <c r="G26" s="3211"/>
      <c r="H26" s="3212" t="s">
        <v>3079</v>
      </c>
      <c r="I26" s="3213" t="s">
        <v>3080</v>
      </c>
      <c r="J26" s="3223">
        <f ca="1">IF(J5&lt;&gt;0,ROUND(J25*(1-((1+M28)/(1+M26))^M27)/(M26-M28),0),0)</f>
        <v>0</v>
      </c>
      <c r="K26" s="3290" t="s">
        <v>3081</v>
      </c>
      <c r="L26" s="3221" t="s">
        <v>3082</v>
      </c>
      <c r="M26" s="3231">
        <f ca="1">INDIRECT("'数据-取费表'!I"&amp;$G$1)</f>
        <v>0.05</v>
      </c>
    </row>
    <row r="27" spans="1:37" ht="18" customHeight="1">
      <c r="A27" s="3262" t="s">
        <v>3066</v>
      </c>
      <c r="B27" s="3221" t="s">
        <v>3083</v>
      </c>
      <c r="C27" s="3267">
        <f ca="1">ROUND(F21*F26,4)</f>
        <v>0</v>
      </c>
      <c r="D27" s="3288" t="s">
        <v>3084</v>
      </c>
      <c r="E27" s="3271"/>
      <c r="F27" s="3272"/>
      <c r="G27" s="3211"/>
      <c r="H27" s="3229"/>
      <c r="I27" s="3306"/>
      <c r="J27" s="3230"/>
      <c r="K27" s="3307" t="s">
        <v>3085</v>
      </c>
      <c r="L27" s="3221" t="s">
        <v>3086</v>
      </c>
      <c r="M27" s="3308">
        <f ca="1">INDIRECT("'数据-取费表'!ag"&amp;$G$1)</f>
        <v>0</v>
      </c>
    </row>
    <row r="28" spans="1:37" s="3279" customFormat="1" ht="18" customHeight="1">
      <c r="A28" s="3262" t="s">
        <v>3087</v>
      </c>
      <c r="B28" s="3221" t="s">
        <v>3088</v>
      </c>
      <c r="C28" s="3267">
        <f>ROUND(F28/(1+'[1]数据-取费表'!C42),4)</f>
        <v>0</v>
      </c>
      <c r="D28" s="3288" t="s">
        <v>3089</v>
      </c>
      <c r="E28" s="3221" t="s">
        <v>3025</v>
      </c>
      <c r="F28" s="3280">
        <f>'[1]数据-取费表'!B41</f>
        <v>0</v>
      </c>
      <c r="G28" s="3273"/>
      <c r="H28" s="3239"/>
      <c r="I28" s="3309"/>
      <c r="J28" s="3255"/>
      <c r="K28" s="3295"/>
      <c r="L28" s="3221" t="s">
        <v>3090</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3091</v>
      </c>
      <c r="B29" s="3249" t="s">
        <v>3092</v>
      </c>
      <c r="C29" s="3300">
        <f ca="1">ROUND((C19+C20+C23+C26)/(1-F21-C24-C27-C28),0)</f>
        <v>81867156</v>
      </c>
      <c r="D29" s="3301"/>
      <c r="E29" s="3249"/>
      <c r="F29" s="3310"/>
      <c r="G29" s="3273"/>
      <c r="H29" s="3311" t="s">
        <v>3093</v>
      </c>
      <c r="I29" s="3312" t="s">
        <v>3094</v>
      </c>
      <c r="J29" s="3313">
        <f ca="1">ROUND(J26/(1+F40)^F41,0)</f>
        <v>0</v>
      </c>
      <c r="K29" s="3314" t="s">
        <v>3095</v>
      </c>
      <c r="L29" s="3315"/>
      <c r="M29" s="3316">
        <f ca="1">INDIRECT("'数据-取费表'!k"&amp;$G$1)</f>
        <v>19492.18</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3096</v>
      </c>
      <c r="B30" s="3254" t="s">
        <v>3031</v>
      </c>
      <c r="C30" s="3255">
        <f ca="1">ROUND(C31+C36+C37+C38,0)</f>
        <v>687684</v>
      </c>
      <c r="D30" s="3259" t="s">
        <v>3032</v>
      </c>
      <c r="E30" s="3281"/>
      <c r="F30" s="3217"/>
      <c r="G30" s="3211"/>
      <c r="H30" s="3317"/>
      <c r="I30" s="3318"/>
      <c r="J30" s="3319"/>
      <c r="K30" s="3243"/>
      <c r="L30" s="3320"/>
      <c r="M30" s="3321"/>
    </row>
    <row r="31" spans="1:37" ht="18" customHeight="1">
      <c r="A31" s="3262" t="s">
        <v>2996</v>
      </c>
      <c r="B31" s="3221" t="s">
        <v>3037</v>
      </c>
      <c r="C31" s="3267">
        <f ca="1">ROUND(IF([1]项目基本情况!B11="自然人",C5*F31,C32+C33+C34),0)</f>
        <v>687684</v>
      </c>
      <c r="D31" s="3264" t="s">
        <v>3038</v>
      </c>
      <c r="E31" s="3283" t="s">
        <v>3039</v>
      </c>
      <c r="F31" s="3284">
        <f ca="1">IF([1]项目基本情况!B11="企业","",IF(INDIRECT("'数据-取费表'!c"&amp;$G$1)="住宅",5%,IF(F6*F7*F8/12/(1+'[1]数据-取费表'!C42)&gt;20000,12%,7%)))</f>
        <v>0.05</v>
      </c>
      <c r="G31" s="3211"/>
      <c r="H31" s="3317"/>
      <c r="I31" s="3318"/>
      <c r="J31" s="3319"/>
      <c r="K31" s="3243"/>
      <c r="L31" s="3320"/>
      <c r="M31" s="3321"/>
    </row>
    <row r="32" spans="1:37" ht="18" customHeight="1">
      <c r="A32" s="3262" t="s">
        <v>3017</v>
      </c>
      <c r="B32" s="3221" t="s">
        <v>3097</v>
      </c>
      <c r="C32" s="3267">
        <f ca="1">IF([1]项目基本情况!B11="自然人","——",ROUND(C5*F32/(1+'[1]数据-取费表'!C42),0))</f>
        <v>0</v>
      </c>
      <c r="D32" s="3283" t="s">
        <v>3098</v>
      </c>
      <c r="E32" s="3221" t="s">
        <v>3025</v>
      </c>
      <c r="F32" s="3299">
        <f>'[1]数据-取费表'!B41</f>
        <v>0</v>
      </c>
      <c r="G32" s="3211"/>
      <c r="H32" s="3317"/>
      <c r="I32" s="3318"/>
      <c r="J32" s="3319"/>
      <c r="K32" s="3243"/>
      <c r="L32" s="3320"/>
      <c r="M32" s="3321"/>
    </row>
    <row r="33" spans="1:18" ht="18" customHeight="1">
      <c r="A33" s="3262" t="s">
        <v>3066</v>
      </c>
      <c r="B33" s="3221" t="s">
        <v>3046</v>
      </c>
      <c r="C33" s="3267">
        <f ca="1">IF([1]项目基本情况!B11="自然人","——",IF(D33="按租金收入计税",ROUND(C5*F33,0),IF(D33="按房产原值计税",ROUND(C29*F33*0.7,0),INDIRECT("'数据-取费表'!Aj"&amp;$G$1))))</f>
        <v>687684</v>
      </c>
      <c r="D33" s="3287" t="s">
        <v>3047</v>
      </c>
      <c r="E33" s="3221" t="s">
        <v>3025</v>
      </c>
      <c r="F33" s="3280">
        <f>IF(D33="按票据","——",IF(D33="按租金收入计税",'[1]数据-取费表'!B51,'[1]数据-取费表'!B50))</f>
        <v>1.2E-2</v>
      </c>
      <c r="G33" s="3211"/>
      <c r="H33" s="3322"/>
      <c r="I33" s="3323"/>
      <c r="J33" s="3324"/>
      <c r="K33" s="3325"/>
      <c r="L33" s="3322"/>
      <c r="M33" s="3322"/>
    </row>
    <row r="34" spans="1:18" ht="18" customHeight="1">
      <c r="A34" s="3218" t="s">
        <v>3026</v>
      </c>
      <c r="B34" s="3220" t="s">
        <v>3050</v>
      </c>
      <c r="C34" s="3289">
        <f ca="1">IF([1]项目基本情况!B11="自然人","——",ROUND(F34*F35,))</f>
        <v>0</v>
      </c>
      <c r="D34" s="3290" t="s">
        <v>3051</v>
      </c>
      <c r="E34" s="3221" t="s">
        <v>3052</v>
      </c>
      <c r="F34" s="3291">
        <f>'[1]数据-取费表'!B52</f>
        <v>0</v>
      </c>
      <c r="G34" s="3211"/>
      <c r="H34" s="3317"/>
      <c r="I34" s="3323"/>
      <c r="J34" s="3324"/>
      <c r="K34" s="3326"/>
      <c r="L34" s="3327"/>
      <c r="M34" s="3327"/>
    </row>
    <row r="35" spans="1:18" ht="18" customHeight="1">
      <c r="A35" s="3328"/>
      <c r="B35" s="3329"/>
      <c r="C35" s="3294"/>
      <c r="D35" s="3295"/>
      <c r="E35" s="3221" t="s">
        <v>3057</v>
      </c>
      <c r="F35" s="3222">
        <f ca="1">INDIRECT("'数据-取费表'!r"&amp;$G$1)</f>
        <v>18563.98</v>
      </c>
      <c r="G35" s="3211"/>
      <c r="H35" s="3317"/>
      <c r="I35" s="3323"/>
      <c r="J35" s="3324"/>
      <c r="K35" s="3325"/>
      <c r="L35" s="3322"/>
      <c r="M35" s="3322"/>
    </row>
    <row r="36" spans="1:18" ht="18" customHeight="1">
      <c r="A36" s="3330" t="s">
        <v>3004</v>
      </c>
      <c r="B36" s="3221" t="s">
        <v>3060</v>
      </c>
      <c r="C36" s="3267">
        <f ca="1">ROUND(C29*F36,0)</f>
        <v>0</v>
      </c>
      <c r="D36" s="3283" t="s">
        <v>3099</v>
      </c>
      <c r="E36" s="3221" t="s">
        <v>3025</v>
      </c>
      <c r="F36" s="3296">
        <f ca="1">INDIRECT("'数据-取费表'!Ak"&amp;$G$1)</f>
        <v>0</v>
      </c>
      <c r="G36" s="3211"/>
      <c r="H36" s="3322"/>
      <c r="I36" s="3323"/>
      <c r="J36" s="3324"/>
      <c r="K36" s="3331"/>
      <c r="L36" s="3322"/>
      <c r="M36" s="3322"/>
    </row>
    <row r="37" spans="1:18" ht="18" customHeight="1">
      <c r="A37" s="3262" t="s">
        <v>3012</v>
      </c>
      <c r="B37" s="3221" t="s">
        <v>3064</v>
      </c>
      <c r="C37" s="3267">
        <f ca="1">ROUND(C13*F37,0)</f>
        <v>0</v>
      </c>
      <c r="D37" s="3283" t="s">
        <v>3065</v>
      </c>
      <c r="E37" s="3221" t="s">
        <v>3025</v>
      </c>
      <c r="F37" s="3298">
        <f ca="1">INDIRECT("'数据-取费表'!Al"&amp;$G$1)</f>
        <v>0</v>
      </c>
      <c r="G37" s="3211"/>
      <c r="H37" s="3322"/>
      <c r="I37" s="3323"/>
      <c r="J37" s="3324"/>
      <c r="K37" s="3331"/>
      <c r="L37" s="3322"/>
      <c r="M37" s="3322"/>
    </row>
    <row r="38" spans="1:18" ht="18" customHeight="1" thickBot="1">
      <c r="A38" s="3274" t="s">
        <v>3058</v>
      </c>
      <c r="B38" s="3249" t="s">
        <v>3048</v>
      </c>
      <c r="C38" s="3300">
        <f ca="1">ROUND(C5*F38,1)</f>
        <v>0</v>
      </c>
      <c r="D38" s="3301" t="s">
        <v>3069</v>
      </c>
      <c r="E38" s="3249" t="s">
        <v>3025</v>
      </c>
      <c r="F38" s="3250">
        <f ca="1">INDIRECT("'数据-取费表'!Am"&amp;$G$1)</f>
        <v>0</v>
      </c>
      <c r="G38" s="3211"/>
      <c r="H38" s="3322"/>
      <c r="I38" s="3323"/>
      <c r="J38" s="3324"/>
      <c r="K38" s="3332"/>
      <c r="L38" s="3322"/>
      <c r="M38" s="3322"/>
    </row>
    <row r="39" spans="1:18" ht="24.6" customHeight="1" thickTop="1">
      <c r="A39" s="3253" t="s">
        <v>3073</v>
      </c>
      <c r="B39" s="3302" t="s">
        <v>3074</v>
      </c>
      <c r="C39" s="3255">
        <f ca="1">C5-C30</f>
        <v>-687684</v>
      </c>
      <c r="D39" s="3303" t="s">
        <v>3075</v>
      </c>
      <c r="E39" s="3304"/>
      <c r="F39" s="3305"/>
      <c r="G39" s="3211"/>
      <c r="H39" s="3322"/>
      <c r="I39" s="3323"/>
      <c r="J39" s="3324"/>
      <c r="K39" s="3332"/>
      <c r="L39" s="3322"/>
      <c r="M39" s="3322"/>
    </row>
    <row r="40" spans="1:18" ht="18" customHeight="1">
      <c r="A40" s="3212" t="s">
        <v>3079</v>
      </c>
      <c r="B40" s="3213" t="s">
        <v>3100</v>
      </c>
      <c r="C40" s="3223">
        <f ca="1">ROUND(C39*(1-((1+F42)/(1+F40))^F41)/(F40-F42),0)</f>
        <v>0</v>
      </c>
      <c r="D40" s="3290" t="s">
        <v>3081</v>
      </c>
      <c r="E40" s="3221" t="s">
        <v>3082</v>
      </c>
      <c r="F40" s="3231">
        <f ca="1">INDIRECT("'数据-取费表'!I"&amp;$G$1)</f>
        <v>0.05</v>
      </c>
      <c r="G40" s="3211"/>
      <c r="H40" s="3333"/>
      <c r="I40" s="3323"/>
      <c r="J40" s="3324"/>
      <c r="K40" s="3332"/>
      <c r="L40" s="3333"/>
      <c r="M40" s="3333"/>
    </row>
    <row r="41" spans="1:18" ht="18" customHeight="1">
      <c r="A41" s="3229"/>
      <c r="B41" s="3306"/>
      <c r="C41" s="3230"/>
      <c r="D41" s="3307" t="s">
        <v>3085</v>
      </c>
      <c r="E41" s="3221" t="s">
        <v>3086</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3090</v>
      </c>
      <c r="F42" s="3231">
        <f ca="1">INDIRECT("'数据-取费表'!v"&amp;$G$1)</f>
        <v>0</v>
      </c>
      <c r="G42" s="3211"/>
      <c r="H42" s="3334"/>
      <c r="I42" s="3323"/>
      <c r="J42" s="3324"/>
      <c r="K42" s="3331"/>
      <c r="L42" s="3334"/>
      <c r="M42" s="3334"/>
    </row>
    <row r="43" spans="1:18" ht="18" customHeight="1" thickBot="1">
      <c r="A43" s="3311" t="s">
        <v>3093</v>
      </c>
      <c r="B43" s="3312" t="s">
        <v>3101</v>
      </c>
      <c r="C43" s="3313">
        <f ca="1">ROUND(C40/F43,0)</f>
        <v>0</v>
      </c>
      <c r="D43" s="3314" t="s">
        <v>3102</v>
      </c>
      <c r="E43" s="3315" t="s">
        <v>3103</v>
      </c>
      <c r="F43" s="3316">
        <f ca="1">INDIRECT("'数据-取费表'!k"&amp;$G$1)</f>
        <v>19492.18</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3104</v>
      </c>
      <c r="E45" s="3335"/>
      <c r="F45" s="3335"/>
      <c r="O45" s="3340" t="s">
        <v>3105</v>
      </c>
      <c r="P45" s="3333"/>
      <c r="Q45" s="3333"/>
      <c r="R45" s="3333"/>
    </row>
    <row r="46" spans="1:18" s="3202" customFormat="1" ht="13.5" thickBot="1">
      <c r="A46" s="3341" t="s">
        <v>3106</v>
      </c>
      <c r="C46" s="3342">
        <f ca="1">ROUND(C45/10000,0)</f>
        <v>0</v>
      </c>
      <c r="D46" s="3343" t="str">
        <f>C2</f>
        <v>万元</v>
      </c>
      <c r="I46" s="3344" t="s">
        <v>3107</v>
      </c>
      <c r="J46" s="3345"/>
      <c r="K46" s="3346"/>
      <c r="L46" s="3347" t="e">
        <f ca="1">IF(M47="住宅",0,IF(L48&gt;J51,L60,J60))</f>
        <v>#DIV/0!</v>
      </c>
      <c r="O46" s="3348" t="s">
        <v>3108</v>
      </c>
      <c r="P46" s="3349" t="s">
        <v>3109</v>
      </c>
      <c r="Q46" s="3350" t="s">
        <v>3110</v>
      </c>
      <c r="R46" s="3350" t="s">
        <v>3111</v>
      </c>
    </row>
    <row r="47" spans="1:18" s="3202" customFormat="1" ht="13.5" thickBot="1">
      <c r="A47" s="3351" t="s">
        <v>2990</v>
      </c>
      <c r="B47" s="3352" t="s">
        <v>2991</v>
      </c>
      <c r="C47" s="3352" t="s">
        <v>2992</v>
      </c>
      <c r="D47" s="3352" t="s">
        <v>2993</v>
      </c>
      <c r="E47" s="3353" t="s">
        <v>2989</v>
      </c>
      <c r="F47" s="3354"/>
      <c r="G47" s="3355"/>
      <c r="I47" s="3356" t="s">
        <v>3112</v>
      </c>
      <c r="J47" s="3357"/>
      <c r="K47" s="3358" t="s">
        <v>3113</v>
      </c>
      <c r="L47" s="3359">
        <f ca="1">INDIRECT("'数据-取费表'!d"&amp;$G$1)</f>
        <v>70</v>
      </c>
      <c r="M47" s="3360" t="str">
        <f>IF(ISNUMBER(FIND("住宅",C1)),"住宅","非住宅")</f>
        <v>非住宅</v>
      </c>
      <c r="O47" s="3361" t="s">
        <v>2379</v>
      </c>
      <c r="P47" s="3362" t="s">
        <v>3114</v>
      </c>
      <c r="Q47" s="3363">
        <f ca="1">C40+J29</f>
        <v>0</v>
      </c>
      <c r="R47" s="3363" t="s">
        <v>3115</v>
      </c>
    </row>
    <row r="48" spans="1:18" s="3202" customFormat="1" ht="28.5" thickBot="1">
      <c r="A48" s="3364" t="s">
        <v>3116</v>
      </c>
      <c r="B48" s="3213" t="s">
        <v>2994</v>
      </c>
      <c r="C48" s="3365">
        <f ca="1">C49+C53+C55</f>
        <v>0</v>
      </c>
      <c r="D48" s="3366"/>
      <c r="E48" s="3367"/>
      <c r="F48" s="3368"/>
      <c r="G48" s="3355"/>
      <c r="H48" s="3369"/>
      <c r="I48" s="3370" t="s">
        <v>3117</v>
      </c>
      <c r="J48" s="3371"/>
      <c r="K48" s="3372" t="s">
        <v>3118</v>
      </c>
      <c r="L48" s="3373">
        <f ca="1">INDIRECT("'数据-取费表'!f"&amp;$G$1)</f>
        <v>49.65</v>
      </c>
      <c r="O48" s="3361" t="s">
        <v>2381</v>
      </c>
      <c r="P48" s="3362" t="s">
        <v>3119</v>
      </c>
      <c r="Q48" s="3363" t="str">
        <f ca="1">J60</f>
        <v>0</v>
      </c>
      <c r="R48" s="3363" t="s">
        <v>3120</v>
      </c>
    </row>
    <row r="49" spans="1:18" s="3202" customFormat="1" ht="13.5" thickBot="1">
      <c r="A49" s="3374" t="s">
        <v>3121</v>
      </c>
      <c r="B49" s="3375" t="s">
        <v>3122</v>
      </c>
      <c r="C49" s="3376">
        <f ca="1">ROUND(F49*F51*F50*(1-F52),0)</f>
        <v>0</v>
      </c>
      <c r="D49" s="3377" t="s">
        <v>3123</v>
      </c>
      <c r="E49" s="3378" t="s">
        <v>3124</v>
      </c>
      <c r="F49" s="3379"/>
      <c r="G49" s="3380"/>
      <c r="H49" s="3369"/>
      <c r="I49" s="3370" t="s">
        <v>3125</v>
      </c>
      <c r="J49" s="3381"/>
      <c r="K49" s="3372" t="s">
        <v>3126</v>
      </c>
      <c r="L49" s="3382"/>
      <c r="O49" s="3383" t="s">
        <v>2383</v>
      </c>
      <c r="P49" s="3362" t="s">
        <v>3127</v>
      </c>
      <c r="Q49" s="3363">
        <f ca="1">C29</f>
        <v>81867156</v>
      </c>
      <c r="R49" s="3363" t="s">
        <v>3115</v>
      </c>
    </row>
    <row r="50" spans="1:18" s="3202" customFormat="1" ht="13.5" thickBot="1">
      <c r="A50" s="3384"/>
      <c r="B50" s="3385"/>
      <c r="C50" s="3386"/>
      <c r="D50" s="3387"/>
      <c r="E50" s="3388" t="s">
        <v>3001</v>
      </c>
      <c r="F50" s="3389">
        <f ca="1">F7</f>
        <v>19492.18</v>
      </c>
      <c r="H50" s="3369"/>
      <c r="I50" s="3370" t="s">
        <v>3128</v>
      </c>
      <c r="J50" s="3390">
        <f>SUMPRODUCT((I63:I65=J47)*(J62:L62=J48)*(J63:L65))</f>
        <v>0</v>
      </c>
      <c r="K50" s="3372" t="s">
        <v>3129</v>
      </c>
      <c r="L50" s="3382"/>
      <c r="M50" s="3391"/>
      <c r="O50" s="3383" t="s">
        <v>2384</v>
      </c>
      <c r="P50" s="3362" t="s">
        <v>3130</v>
      </c>
      <c r="Q50" s="3392" t="e">
        <f ca="1">J58</f>
        <v>#VALUE!</v>
      </c>
      <c r="R50" s="3363"/>
    </row>
    <row r="51" spans="1:18" s="3202" customFormat="1" ht="13.5" thickBot="1">
      <c r="A51" s="3393"/>
      <c r="B51" s="3385"/>
      <c r="C51" s="3386"/>
      <c r="D51" s="3387"/>
      <c r="E51" s="3394" t="s">
        <v>3002</v>
      </c>
      <c r="F51" s="3222">
        <f ca="1">F8</f>
        <v>0</v>
      </c>
      <c r="I51" s="3395" t="s">
        <v>3131</v>
      </c>
      <c r="J51" s="3396">
        <f>IF(J49="",J50,J49+J50-YEAR('[1]数据-取费表'!B2))</f>
        <v>0</v>
      </c>
      <c r="K51" s="3397" t="s">
        <v>3132</v>
      </c>
      <c r="L51" s="3398">
        <f ca="1">ROUND(-PV(INDIRECT("'数据-取费表'!h"&amp;$G$1),L48,(C39-C13*C76),0),0)</f>
        <v>-13563750</v>
      </c>
      <c r="M51" s="3399"/>
      <c r="O51" s="3383" t="s">
        <v>2386</v>
      </c>
      <c r="P51" s="3362" t="s">
        <v>3133</v>
      </c>
      <c r="Q51" s="3392">
        <f>J52</f>
        <v>0</v>
      </c>
      <c r="R51" s="3363"/>
    </row>
    <row r="52" spans="1:18" s="3202" customFormat="1" ht="13.5" thickBot="1">
      <c r="A52" s="3393"/>
      <c r="B52" s="3385"/>
      <c r="C52" s="3386"/>
      <c r="D52" s="3387"/>
      <c r="E52" s="3394" t="s">
        <v>3003</v>
      </c>
      <c r="F52" s="3400"/>
      <c r="I52" s="3401" t="s">
        <v>3134</v>
      </c>
      <c r="J52" s="3402"/>
      <c r="K52" s="3401" t="s">
        <v>3135</v>
      </c>
      <c r="L52" s="3402"/>
      <c r="O52" s="3383" t="s">
        <v>2388</v>
      </c>
      <c r="P52" s="3362" t="s">
        <v>3136</v>
      </c>
      <c r="Q52" s="3363" t="b">
        <f>J53</f>
        <v>0</v>
      </c>
      <c r="R52" s="3363" t="s">
        <v>3137</v>
      </c>
    </row>
    <row r="53" spans="1:18" s="3202" customFormat="1" ht="30.75" customHeight="1" thickBot="1">
      <c r="A53" s="3403" t="s">
        <v>3138</v>
      </c>
      <c r="B53" s="3288" t="s">
        <v>3005</v>
      </c>
      <c r="C53" s="3235">
        <f>ROUND(IF(F53="押一",F49*F51*F50/12*F11,IF(F53="押二",F49*F51*F50/12*2*F11,IF(F53="押三",F49*F51*F50/12*3*F11,C54*F11))),0)</f>
        <v>0</v>
      </c>
      <c r="D53" s="3236" t="s">
        <v>3139</v>
      </c>
      <c r="E53" s="3232" t="s">
        <v>3007</v>
      </c>
      <c r="F53" s="3237"/>
      <c r="I53" s="3404" t="s">
        <v>3140</v>
      </c>
      <c r="J53" s="3405" t="b">
        <f>IF(M47="住宅",J51,IF(D1="——",MIN(J51,L48),IF(D1="在建（套用方法）",MIN(J51,L48-'[1]数据-取费表'!B24),IF(D1="土地（套用方法）",MIN(J51,L48-'[1]数据-取费表'!B20)))))</f>
        <v>0</v>
      </c>
      <c r="K53" s="3501" t="s">
        <v>3141</v>
      </c>
      <c r="L53" s="3502"/>
      <c r="O53" s="3361" t="s">
        <v>2391</v>
      </c>
      <c r="P53" s="3362" t="s">
        <v>3142</v>
      </c>
      <c r="Q53" s="3363">
        <f ca="1">Q47+Q48</f>
        <v>0</v>
      </c>
      <c r="R53" s="3363" t="s">
        <v>2392</v>
      </c>
    </row>
    <row r="54" spans="1:18" s="3202" customFormat="1" ht="13.5" thickBot="1">
      <c r="A54" s="3374"/>
      <c r="B54" s="3406" t="s">
        <v>3011</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3143</v>
      </c>
      <c r="P54" s="3333"/>
      <c r="Q54" s="3333"/>
      <c r="R54" s="3333"/>
    </row>
    <row r="55" spans="1:18" s="3202" customFormat="1" ht="13.5" thickBot="1">
      <c r="A55" s="3245" t="s">
        <v>3012</v>
      </c>
      <c r="B55" s="3246" t="s">
        <v>3013</v>
      </c>
      <c r="C55" s="3247"/>
      <c r="D55" s="3236"/>
      <c r="E55" s="3407"/>
      <c r="F55" s="3408"/>
      <c r="I55" s="3411" t="s">
        <v>3144</v>
      </c>
      <c r="J55" s="3412" t="e">
        <f ca="1">ROUND(IF(J47="钢混",J57/J50,1-(1-2%)*(J50-J57)/J50),3)</f>
        <v>#VALUE!</v>
      </c>
      <c r="K55" s="3413" t="s">
        <v>3145</v>
      </c>
      <c r="L55" s="3414"/>
      <c r="O55" s="3348" t="s">
        <v>3108</v>
      </c>
      <c r="P55" s="3349" t="s">
        <v>3109</v>
      </c>
      <c r="Q55" s="3350" t="s">
        <v>3110</v>
      </c>
      <c r="R55" s="3350" t="s">
        <v>3111</v>
      </c>
    </row>
    <row r="56" spans="1:18" s="3202" customFormat="1" ht="36" customHeight="1" thickTop="1" thickBot="1">
      <c r="A56" s="3415">
        <v>2</v>
      </c>
      <c r="B56" s="3416" t="s">
        <v>3014</v>
      </c>
      <c r="C56" s="3417">
        <f ca="1">C13</f>
        <v>0</v>
      </c>
      <c r="D56" s="3418"/>
      <c r="E56" s="3419"/>
      <c r="F56" s="3408"/>
      <c r="I56" s="3420" t="s">
        <v>3146</v>
      </c>
      <c r="J56" s="3421"/>
      <c r="K56" s="3370" t="s">
        <v>3147</v>
      </c>
      <c r="L56" s="3373">
        <f ca="1">IF(L48&lt;J51,"——",L48-J51)</f>
        <v>49.65</v>
      </c>
      <c r="O56" s="3361" t="s">
        <v>2379</v>
      </c>
      <c r="P56" s="3362" t="s">
        <v>3114</v>
      </c>
      <c r="Q56" s="3363">
        <f ca="1">C40+J29</f>
        <v>0</v>
      </c>
      <c r="R56" s="3363" t="s">
        <v>3115</v>
      </c>
    </row>
    <row r="57" spans="1:18" s="3202" customFormat="1" ht="24.75" thickBot="1">
      <c r="A57" s="3422"/>
      <c r="B57" s="3423" t="s">
        <v>3092</v>
      </c>
      <c r="C57" s="3424">
        <f ca="1">C29</f>
        <v>81867156</v>
      </c>
      <c r="D57" s="3425"/>
      <c r="E57" s="3426"/>
      <c r="F57" s="3427"/>
      <c r="I57" s="3428" t="s">
        <v>3148</v>
      </c>
      <c r="J57" s="3429" t="str">
        <f ca="1">IF(OR(M47="住宅",J51&lt;L48,J56="是"),"——",J51-L48)</f>
        <v>——</v>
      </c>
      <c r="K57" s="3370" t="s">
        <v>3149</v>
      </c>
      <c r="L57" s="3373">
        <f ca="1">IF(L48&lt;J51,"——",IF(L55="比较法",L49,IF(L55="基准地价",L50,L51)))</f>
        <v>-13563750</v>
      </c>
      <c r="O57" s="3361" t="s">
        <v>2381</v>
      </c>
      <c r="P57" s="3362" t="s">
        <v>3150</v>
      </c>
      <c r="Q57" s="3363" t="e">
        <f ca="1">L60</f>
        <v>#DIV/0!</v>
      </c>
      <c r="R57" s="3363" t="s">
        <v>3151</v>
      </c>
    </row>
    <row r="58" spans="1:18" s="3202" customFormat="1" ht="24.75" thickBot="1">
      <c r="A58" s="3430" t="s">
        <v>3096</v>
      </c>
      <c r="B58" s="3416" t="s">
        <v>3031</v>
      </c>
      <c r="C58" s="3235">
        <f ca="1">ROUND(C59+C64+C65+C66,0)</f>
        <v>687684</v>
      </c>
      <c r="D58" s="3431" t="s">
        <v>3032</v>
      </c>
      <c r="E58" s="3432"/>
      <c r="F58" s="3368"/>
      <c r="I58" s="3428" t="s">
        <v>3152</v>
      </c>
      <c r="J58" s="3433" t="e">
        <f ca="1">IF(J55&lt;0.4,0.4,J55)</f>
        <v>#VALUE!</v>
      </c>
      <c r="K58" s="3397" t="s">
        <v>3153</v>
      </c>
      <c r="L58" s="3373" t="e">
        <f ca="1">ROUND(POWER(1+L52,L47-L48)*(POWER(1+L52,L48)-1)/(POWER(1+L52,L47)-1),4)</f>
        <v>#DIV/0!</v>
      </c>
      <c r="O58" s="3383" t="s">
        <v>2383</v>
      </c>
      <c r="P58" s="3362" t="s">
        <v>3154</v>
      </c>
      <c r="Q58" s="3363">
        <f>IF(L55="比较法",L49,IF(L55="基准地价",L50,0))</f>
        <v>0</v>
      </c>
      <c r="R58" s="3363" t="s">
        <v>3115</v>
      </c>
    </row>
    <row r="59" spans="1:18" s="3202" customFormat="1" ht="24.75" thickBot="1">
      <c r="A59" s="3262" t="s">
        <v>2996</v>
      </c>
      <c r="B59" s="3423" t="s">
        <v>3037</v>
      </c>
      <c r="C59" s="3267">
        <f ca="1">ROUND(IF([1]项目基本情况!B11="自然人",C48*F59,C60+C61+C62),0)</f>
        <v>687684</v>
      </c>
      <c r="D59" s="3434" t="s">
        <v>3038</v>
      </c>
      <c r="E59" s="3435" t="s">
        <v>3039</v>
      </c>
      <c r="F59" s="3284">
        <f ca="1">IF([1]项目基本情况!B11="企业","",IF(INDIRECT("'数据-取费表'!c"&amp;$G$1)="住宅",5%,IF(F49*F50*F51/12/(1+'[1]数据-取费表'!C42)&gt;20000,12%,7%)))</f>
        <v>0.05</v>
      </c>
      <c r="I59" s="3428" t="s">
        <v>3155</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2384</v>
      </c>
      <c r="P59" s="3362" t="s">
        <v>3156</v>
      </c>
      <c r="Q59" s="3392">
        <f>L52</f>
        <v>0</v>
      </c>
      <c r="R59" s="3363"/>
    </row>
    <row r="60" spans="1:18" s="3202" customFormat="1" ht="16.5" thickBot="1">
      <c r="A60" s="3262" t="s">
        <v>3017</v>
      </c>
      <c r="B60" s="3423" t="s">
        <v>3097</v>
      </c>
      <c r="C60" s="3267">
        <f ca="1">IF([1]项目基本情况!B11="自然人","——",ROUND(C48*F60/(1+'[1]数据-取费表'!C42),0))</f>
        <v>0</v>
      </c>
      <c r="D60" s="3435" t="s">
        <v>3098</v>
      </c>
      <c r="E60" s="3423" t="s">
        <v>3025</v>
      </c>
      <c r="F60" s="3299">
        <f t="shared" ref="F60:F66" si="0">F32</f>
        <v>0</v>
      </c>
      <c r="I60" s="3436" t="s">
        <v>3157</v>
      </c>
      <c r="J60" s="3437" t="str">
        <f ca="1">IF(OR(M47="住宅",J51&lt;L48,J56="是"),"0",ROUND(J59/(1+J52)^J53,0))</f>
        <v>0</v>
      </c>
      <c r="K60" s="3438" t="s">
        <v>3158</v>
      </c>
      <c r="L60" s="3437" t="e">
        <f ca="1">IF(OR(M47="住宅",L48&lt;J51),0,ROUND(L57*(L58/L59-1),0))</f>
        <v>#DIV/0!</v>
      </c>
      <c r="O60" s="3383" t="s">
        <v>2386</v>
      </c>
      <c r="P60" s="3362" t="s">
        <v>3159</v>
      </c>
      <c r="Q60" s="3363" t="e">
        <f ca="1">L58</f>
        <v>#DIV/0!</v>
      </c>
      <c r="R60" s="3363" t="s">
        <v>3160</v>
      </c>
    </row>
    <row r="61" spans="1:18" s="3202" customFormat="1" ht="13.5" thickBot="1">
      <c r="A61" s="3262" t="s">
        <v>3161</v>
      </c>
      <c r="B61" s="3423" t="s">
        <v>3046</v>
      </c>
      <c r="C61" s="3267">
        <f ca="1">IF([1]项目基本情况!B11="自然人","——",IF(D61="按租金收入计税",ROUND(C48*F61,0),IF(D61="按房产原值计税",ROUND(C57*F61*0.7,0),INDIRECT("'数据-取费表'!Aj"&amp;$G$1))))</f>
        <v>687684</v>
      </c>
      <c r="D61" s="3287" t="s">
        <v>3047</v>
      </c>
      <c r="E61" s="3423" t="s">
        <v>3025</v>
      </c>
      <c r="F61" s="3280">
        <f t="shared" si="0"/>
        <v>1.2E-2</v>
      </c>
      <c r="I61" s="3439"/>
      <c r="J61" s="3439"/>
      <c r="K61" s="3439"/>
      <c r="L61" s="3439"/>
      <c r="O61" s="3383" t="s">
        <v>2388</v>
      </c>
      <c r="P61" s="3362" t="str">
        <f>K59</f>
        <v>建设期及建筑物耐用年限下的土地年期修正系数Kn</v>
      </c>
      <c r="Q61" s="3363" t="e">
        <f ca="1">L59</f>
        <v>#DIV/0!</v>
      </c>
      <c r="R61" s="3363" t="s">
        <v>3162</v>
      </c>
    </row>
    <row r="62" spans="1:18" s="3202" customFormat="1" ht="13.5" thickBot="1">
      <c r="A62" s="3262" t="s">
        <v>3163</v>
      </c>
      <c r="B62" s="3440" t="s">
        <v>3050</v>
      </c>
      <c r="C62" s="3289">
        <f ca="1">IF([1]项目基本情况!B11="自然人","——",ROUND(F62*F63,0))</f>
        <v>0</v>
      </c>
      <c r="D62" s="3441" t="s">
        <v>3051</v>
      </c>
      <c r="E62" s="3423" t="s">
        <v>3052</v>
      </c>
      <c r="F62" s="3291">
        <f t="shared" si="0"/>
        <v>0</v>
      </c>
      <c r="I62" s="3442" t="s">
        <v>3164</v>
      </c>
      <c r="J62" s="3443" t="s">
        <v>3165</v>
      </c>
      <c r="K62" s="3443" t="s">
        <v>3166</v>
      </c>
      <c r="L62" s="3443" t="s">
        <v>3167</v>
      </c>
      <c r="M62" s="3444" t="s">
        <v>3168</v>
      </c>
      <c r="O62" s="3361" t="s">
        <v>2391</v>
      </c>
      <c r="P62" s="3362" t="s">
        <v>3142</v>
      </c>
      <c r="Q62" s="3363" t="e">
        <f ca="1">Q56+Q57</f>
        <v>#DIV/0!</v>
      </c>
      <c r="R62" s="3363" t="s">
        <v>2392</v>
      </c>
    </row>
    <row r="63" spans="1:18" s="3202" customFormat="1" ht="13.5" thickBot="1">
      <c r="A63" s="3292"/>
      <c r="B63" s="3445"/>
      <c r="C63" s="3294"/>
      <c r="D63" s="3446"/>
      <c r="E63" s="3423" t="s">
        <v>3057</v>
      </c>
      <c r="F63" s="3222">
        <f t="shared" ca="1" si="0"/>
        <v>18563.98</v>
      </c>
      <c r="I63" s="3442" t="s">
        <v>3169</v>
      </c>
      <c r="J63" s="3443">
        <v>70</v>
      </c>
      <c r="K63" s="3443">
        <v>50</v>
      </c>
      <c r="L63" s="3443">
        <v>80</v>
      </c>
      <c r="M63" s="3447">
        <v>0.02</v>
      </c>
      <c r="O63" s="3340" t="s">
        <v>3170</v>
      </c>
      <c r="P63" s="3333"/>
      <c r="Q63" s="3333"/>
      <c r="R63" s="3333"/>
    </row>
    <row r="64" spans="1:18" s="3202" customFormat="1" ht="13.5" thickBot="1">
      <c r="A64" s="3262" t="s">
        <v>3004</v>
      </c>
      <c r="B64" s="3423" t="s">
        <v>3060</v>
      </c>
      <c r="C64" s="3267">
        <f ca="1">ROUND(C57*F64,0)</f>
        <v>0</v>
      </c>
      <c r="D64" s="3435" t="s">
        <v>3099</v>
      </c>
      <c r="E64" s="3423" t="s">
        <v>3025</v>
      </c>
      <c r="F64" s="3296">
        <f t="shared" ca="1" si="0"/>
        <v>0</v>
      </c>
      <c r="I64" s="3442" t="s">
        <v>3171</v>
      </c>
      <c r="J64" s="3443">
        <v>50</v>
      </c>
      <c r="K64" s="3443">
        <v>35</v>
      </c>
      <c r="L64" s="3443">
        <v>60</v>
      </c>
      <c r="M64" s="3444">
        <v>0</v>
      </c>
      <c r="O64" s="3348" t="s">
        <v>3108</v>
      </c>
      <c r="P64" s="3349" t="s">
        <v>3109</v>
      </c>
      <c r="Q64" s="3350" t="s">
        <v>3110</v>
      </c>
      <c r="R64" s="3350" t="s">
        <v>3111</v>
      </c>
    </row>
    <row r="65" spans="1:18" s="3202" customFormat="1" ht="13.5" thickBot="1">
      <c r="A65" s="3262" t="s">
        <v>3172</v>
      </c>
      <c r="B65" s="3423" t="s">
        <v>3064</v>
      </c>
      <c r="C65" s="3267">
        <f ca="1">ROUND(C56*F65,0)</f>
        <v>0</v>
      </c>
      <c r="D65" s="3435" t="s">
        <v>3065</v>
      </c>
      <c r="E65" s="3423" t="s">
        <v>3025</v>
      </c>
      <c r="F65" s="3298">
        <f t="shared" ca="1" si="0"/>
        <v>0</v>
      </c>
      <c r="I65" s="3442" t="s">
        <v>3173</v>
      </c>
      <c r="J65" s="3443">
        <v>40</v>
      </c>
      <c r="K65" s="3443">
        <v>30</v>
      </c>
      <c r="L65" s="3443">
        <v>50</v>
      </c>
      <c r="M65" s="3447">
        <v>0.02</v>
      </c>
      <c r="O65" s="3361" t="s">
        <v>2379</v>
      </c>
      <c r="P65" s="3362" t="s">
        <v>3114</v>
      </c>
      <c r="Q65" s="3363">
        <f ca="1">C40+J29</f>
        <v>0</v>
      </c>
      <c r="R65" s="3363" t="s">
        <v>3115</v>
      </c>
    </row>
    <row r="66" spans="1:18" s="3202" customFormat="1" ht="16.5" thickBot="1">
      <c r="A66" s="3262" t="s">
        <v>3174</v>
      </c>
      <c r="B66" s="3423" t="s">
        <v>3048</v>
      </c>
      <c r="C66" s="3267">
        <f ca="1">ROUND(C48*F66,0)</f>
        <v>0</v>
      </c>
      <c r="D66" s="3435" t="s">
        <v>3069</v>
      </c>
      <c r="E66" s="3423" t="s">
        <v>3025</v>
      </c>
      <c r="F66" s="3231">
        <f t="shared" ca="1" si="0"/>
        <v>0</v>
      </c>
      <c r="O66" s="3361" t="s">
        <v>2381</v>
      </c>
      <c r="P66" s="3362" t="s">
        <v>3150</v>
      </c>
      <c r="Q66" s="3363" t="e">
        <f ca="1">L60</f>
        <v>#DIV/0!</v>
      </c>
      <c r="R66" s="3363" t="s">
        <v>3175</v>
      </c>
    </row>
    <row r="67" spans="1:18" s="3202" customFormat="1" ht="16.5" thickBot="1">
      <c r="A67" s="3415" t="s">
        <v>3073</v>
      </c>
      <c r="B67" s="3448" t="s">
        <v>3074</v>
      </c>
      <c r="C67" s="3235">
        <f ca="1">C48-C58</f>
        <v>-687684</v>
      </c>
      <c r="D67" s="3434" t="s">
        <v>3075</v>
      </c>
      <c r="E67" s="3449"/>
      <c r="F67" s="3450"/>
      <c r="O67" s="3383" t="s">
        <v>2383</v>
      </c>
      <c r="P67" s="3362" t="s">
        <v>3154</v>
      </c>
      <c r="Q67" s="3451">
        <f ca="1">L51</f>
        <v>-13563750</v>
      </c>
      <c r="R67" s="3363" t="s">
        <v>3176</v>
      </c>
    </row>
    <row r="68" spans="1:18" s="3202" customFormat="1" ht="16.5" thickBot="1">
      <c r="A68" s="3452" t="s">
        <v>3079</v>
      </c>
      <c r="B68" s="3453" t="s">
        <v>3100</v>
      </c>
      <c r="C68" s="3223">
        <f ca="1">ROUND(C67*(1-((1+F70)/(1+F68))^F69)/(F68-F70),0)</f>
        <v>0</v>
      </c>
      <c r="D68" s="3441" t="s">
        <v>3081</v>
      </c>
      <c r="E68" s="3423" t="s">
        <v>3082</v>
      </c>
      <c r="F68" s="3231">
        <f ca="1">F40</f>
        <v>0.05</v>
      </c>
      <c r="O68" s="3383" t="s">
        <v>2384</v>
      </c>
      <c r="P68" s="3454" t="s">
        <v>3177</v>
      </c>
      <c r="Q68" s="3363">
        <f ca="1">ROUND(Q69-Q70*Q71,0)</f>
        <v>-687684</v>
      </c>
      <c r="R68" s="3363" t="s">
        <v>3178</v>
      </c>
    </row>
    <row r="69" spans="1:18" s="3202" customFormat="1" ht="13.5" thickBot="1">
      <c r="A69" s="3455"/>
      <c r="B69" s="3456"/>
      <c r="C69" s="3230"/>
      <c r="D69" s="3457" t="s">
        <v>3085</v>
      </c>
      <c r="E69" s="3423" t="s">
        <v>3086</v>
      </c>
      <c r="F69" s="3308">
        <f ca="1">F41</f>
        <v>0</v>
      </c>
      <c r="O69" s="3383" t="s">
        <v>2399</v>
      </c>
      <c r="P69" s="3454" t="s">
        <v>3179</v>
      </c>
      <c r="Q69" s="3363">
        <f ca="1">C39</f>
        <v>-687684</v>
      </c>
      <c r="R69" s="3363" t="s">
        <v>3115</v>
      </c>
    </row>
    <row r="70" spans="1:18" s="3202" customFormat="1" ht="13.5" thickBot="1">
      <c r="A70" s="3458"/>
      <c r="B70" s="3459"/>
      <c r="C70" s="3255"/>
      <c r="D70" s="3446"/>
      <c r="E70" s="3423" t="s">
        <v>3090</v>
      </c>
      <c r="F70" s="3400">
        <f ca="1">F42</f>
        <v>0</v>
      </c>
      <c r="O70" s="3383" t="s">
        <v>2401</v>
      </c>
      <c r="P70" s="3454" t="s">
        <v>3180</v>
      </c>
      <c r="Q70" s="3363">
        <f ca="1">C13</f>
        <v>0</v>
      </c>
      <c r="R70" s="3363" t="s">
        <v>3115</v>
      </c>
    </row>
    <row r="71" spans="1:18" s="3202" customFormat="1" ht="13.5" thickBot="1">
      <c r="A71" s="3460" t="s">
        <v>3093</v>
      </c>
      <c r="B71" s="3461" t="s">
        <v>3101</v>
      </c>
      <c r="C71" s="3313">
        <f ca="1">ROUND(C68/F71,0)</f>
        <v>0</v>
      </c>
      <c r="D71" s="3462" t="s">
        <v>3102</v>
      </c>
      <c r="E71" s="3463" t="s">
        <v>3103</v>
      </c>
      <c r="F71" s="3316">
        <f ca="1">F43</f>
        <v>19492.18</v>
      </c>
      <c r="O71" s="3383" t="s">
        <v>2403</v>
      </c>
      <c r="P71" s="3454" t="s">
        <v>3181</v>
      </c>
      <c r="Q71" s="3392">
        <f ca="1">C76</f>
        <v>8.5000000000000006E-2</v>
      </c>
      <c r="R71" s="3363"/>
    </row>
    <row r="72" spans="1:18" s="3202" customFormat="1" ht="13.5" thickBot="1">
      <c r="B72" s="3464"/>
      <c r="C72" s="3464"/>
      <c r="O72" s="3383" t="s">
        <v>2386</v>
      </c>
      <c r="P72" s="3362" t="s">
        <v>3156</v>
      </c>
      <c r="Q72" s="3392">
        <f>L52</f>
        <v>0</v>
      </c>
      <c r="R72" s="3363"/>
    </row>
    <row r="73" spans="1:18" ht="16.5" thickBot="1">
      <c r="A73" s="3202"/>
      <c r="B73" s="3464"/>
      <c r="C73" s="3464"/>
      <c r="D73" s="3202"/>
      <c r="E73" s="3202"/>
      <c r="F73" s="3202"/>
      <c r="O73" s="3383" t="s">
        <v>2388</v>
      </c>
      <c r="P73" s="3362" t="s">
        <v>3159</v>
      </c>
      <c r="Q73" s="3363" t="e">
        <f ca="1">L58</f>
        <v>#DIV/0!</v>
      </c>
      <c r="R73" s="3363" t="s">
        <v>3160</v>
      </c>
    </row>
    <row r="74" spans="1:18" ht="13.5" thickBot="1">
      <c r="A74" s="3202"/>
      <c r="B74" s="3466" t="s">
        <v>3182</v>
      </c>
      <c r="C74" s="3467"/>
      <c r="D74" s="3202"/>
      <c r="E74" s="3202"/>
      <c r="F74" s="3202"/>
      <c r="O74" s="3383" t="s">
        <v>3183</v>
      </c>
      <c r="P74" s="3362" t="str">
        <f>K59</f>
        <v>建设期及建筑物耐用年限下的土地年期修正系数Kn</v>
      </c>
      <c r="Q74" s="3363" t="e">
        <f ca="1">L59</f>
        <v>#DIV/0!</v>
      </c>
      <c r="R74" s="3363" t="s">
        <v>3162</v>
      </c>
    </row>
    <row r="75" spans="1:18" ht="13.5" thickBot="1">
      <c r="A75" s="3202"/>
      <c r="B75" s="3468" t="s">
        <v>3184</v>
      </c>
      <c r="C75" s="3469">
        <f ca="1">ROUND(C13*C76,0)</f>
        <v>0</v>
      </c>
      <c r="D75" s="3202"/>
      <c r="E75" s="3202"/>
      <c r="F75" s="3202"/>
      <c r="K75" s="3337"/>
      <c r="L75" s="3202"/>
      <c r="O75" s="3361" t="s">
        <v>2391</v>
      </c>
      <c r="P75" s="3362" t="s">
        <v>3142</v>
      </c>
      <c r="Q75" s="3363" t="e">
        <f ca="1">Q65+Q66</f>
        <v>#DIV/0!</v>
      </c>
      <c r="R75" s="3363" t="s">
        <v>2392</v>
      </c>
    </row>
    <row r="76" spans="1:18">
      <c r="B76" s="3470" t="s">
        <v>3185</v>
      </c>
      <c r="C76" s="3471">
        <f ca="1">INDIRECT("'数据-取费表'!j"&amp;$G$1)</f>
        <v>8.5000000000000006E-2</v>
      </c>
      <c r="I76" s="3202"/>
      <c r="J76" s="3202"/>
      <c r="K76" s="3337"/>
      <c r="L76" s="3202"/>
    </row>
    <row r="77" spans="1:18">
      <c r="B77" s="3472" t="s">
        <v>3186</v>
      </c>
      <c r="C77" s="3473"/>
      <c r="I77" s="3202"/>
      <c r="J77" s="3202"/>
      <c r="K77" s="3337"/>
      <c r="L77" s="3202"/>
    </row>
    <row r="78" spans="1:18">
      <c r="B78" s="3474" t="s">
        <v>3187</v>
      </c>
      <c r="C78" s="3475"/>
    </row>
    <row r="79" spans="1:18">
      <c r="B79" s="3468" t="s">
        <v>3188</v>
      </c>
      <c r="C79" s="3476">
        <f ca="1">1-C80</f>
        <v>1</v>
      </c>
    </row>
    <row r="80" spans="1:18">
      <c r="B80" s="3468" t="s">
        <v>3189</v>
      </c>
      <c r="C80" s="3476">
        <f ca="1">ROUND(C75/C39,3)</f>
        <v>0</v>
      </c>
    </row>
    <row r="81" spans="2:3">
      <c r="B81" s="3474" t="s">
        <v>3190</v>
      </c>
      <c r="C81" s="3424"/>
    </row>
    <row r="82" spans="2:3">
      <c r="B82" s="3466" t="s">
        <v>3191</v>
      </c>
      <c r="C82" s="3477" t="e">
        <f ca="1">1-C83</f>
        <v>#DIV/0!</v>
      </c>
    </row>
    <row r="83" spans="2:3">
      <c r="B83" s="3466" t="s">
        <v>3192</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B11" sqref="B1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2547</v>
      </c>
      <c r="R1" s="2608" t="s">
        <v>2541</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2543</v>
      </c>
      <c r="S3" s="9" t="s">
        <v>84</v>
      </c>
      <c r="T3" s="9" t="s">
        <v>85</v>
      </c>
      <c r="U3" s="9" t="s">
        <v>84</v>
      </c>
      <c r="V3" s="9" t="s">
        <v>86</v>
      </c>
      <c r="W3" s="9" t="s">
        <v>875</v>
      </c>
    </row>
    <row r="4" spans="1:23">
      <c r="A4" s="8" t="s">
        <v>87</v>
      </c>
      <c r="B4" s="8" t="s">
        <v>152</v>
      </c>
      <c r="C4" s="1552" t="s">
        <v>1711</v>
      </c>
      <c r="D4" s="9" t="s">
        <v>1995</v>
      </c>
      <c r="E4" s="9" t="s">
        <v>88</v>
      </c>
      <c r="F4" s="9" t="s">
        <v>89</v>
      </c>
      <c r="G4" s="9">
        <v>70</v>
      </c>
      <c r="H4" s="9" t="s">
        <v>90</v>
      </c>
      <c r="I4" s="9" t="s">
        <v>91</v>
      </c>
      <c r="K4" s="9" t="s">
        <v>92</v>
      </c>
      <c r="L4" s="9" t="s">
        <v>92</v>
      </c>
      <c r="M4" s="9" t="s">
        <v>92</v>
      </c>
      <c r="N4" s="9" t="s">
        <v>92</v>
      </c>
      <c r="O4" s="9" t="s">
        <v>92</v>
      </c>
      <c r="P4" s="1006" t="s">
        <v>759</v>
      </c>
      <c r="Q4" s="9" t="s">
        <v>92</v>
      </c>
      <c r="R4" s="1006" t="s">
        <v>2544</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3488" t="s">
        <v>3360</v>
      </c>
      <c r="C9" s="1552" t="s">
        <v>1716</v>
      </c>
      <c r="F9" s="9" t="s">
        <v>110</v>
      </c>
      <c r="H9" s="9"/>
    </row>
    <row r="10" spans="1:23">
      <c r="A10" s="8" t="s">
        <v>111</v>
      </c>
      <c r="B10" s="3488" t="s">
        <v>3361</v>
      </c>
      <c r="C10" s="1552" t="s">
        <v>1717</v>
      </c>
      <c r="F10" s="9" t="s">
        <v>6</v>
      </c>
    </row>
    <row r="11" spans="1:23">
      <c r="A11" s="8" t="s">
        <v>112</v>
      </c>
      <c r="B11" s="8" t="s">
        <v>156</v>
      </c>
      <c r="C11" s="1552" t="s">
        <v>1718</v>
      </c>
    </row>
    <row r="12" spans="1:23">
      <c r="A12" s="8" t="s">
        <v>113</v>
      </c>
      <c r="B12" s="8" t="s">
        <v>157</v>
      </c>
      <c r="C12" s="1552" t="s">
        <v>1719</v>
      </c>
    </row>
    <row r="13" spans="1:23">
      <c r="A13" s="8" t="s">
        <v>114</v>
      </c>
      <c r="B13" s="8" t="s">
        <v>158</v>
      </c>
      <c r="C13" s="1552" t="s">
        <v>1720</v>
      </c>
    </row>
    <row r="14" spans="1:23">
      <c r="A14" s="8" t="s">
        <v>115</v>
      </c>
      <c r="B14" s="8" t="s">
        <v>159</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44" t="s">
        <v>2959</v>
      </c>
      <c r="C18" s="1555"/>
    </row>
    <row r="19" spans="1:3">
      <c r="A19" s="8" t="s">
        <v>120</v>
      </c>
      <c r="B19" s="3144" t="s">
        <v>2967</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3144" t="s">
        <v>3311</v>
      </c>
      <c r="B27" s="8" t="s">
        <v>1641</v>
      </c>
      <c r="C27" s="1555"/>
    </row>
    <row r="28" spans="1:3">
      <c r="A28" s="8" t="s">
        <v>3312</v>
      </c>
      <c r="B28" s="8" t="s">
        <v>1641</v>
      </c>
      <c r="C28" s="1555"/>
    </row>
    <row r="29" spans="1:3">
      <c r="A29" s="8" t="s">
        <v>3313</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朝阳区京顺路来广营东路（雍景桃源一期）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530"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c r="D53" s="1769"/>
      <c r="E53" s="1769"/>
    </row>
    <row r="54" spans="1:5">
      <c r="A54" s="3530"/>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30"/>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30"/>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30"/>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2049</v>
      </c>
      <c r="B58" s="1768"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SheetLayoutView="90" workbookViewId="0">
      <selection activeCell="C27" sqref="C27"/>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546" t="str">
        <f>IF(B10="北京市","北京市",C10)&amp;F10&amp;B16&amp;"国有建设用地使用权"&amp;B9&amp;"预评估"</f>
        <v>北京市朝阳区京顺路来广营东路（雍景桃源一期）出让国有建设用地使用权抵押价格预评估</v>
      </c>
      <c r="C1" s="3547"/>
      <c r="D1" s="3547"/>
      <c r="E1" s="3547"/>
      <c r="F1" s="3547"/>
      <c r="G1" s="3547"/>
      <c r="H1" s="3547"/>
      <c r="I1" s="3548"/>
      <c r="J1" s="1694"/>
      <c r="K1" s="2480" t="str">
        <f>IF(B10="北京市","北京市",C10)&amp;F10&amp;B16&amp;"国有建设用地使用权"&amp;B9</f>
        <v>北京市朝阳区京顺路来广营东路（雍景桃源一期）出让国有建设用地使用权抵押价格</v>
      </c>
      <c r="L1" s="1723"/>
      <c r="M1" s="1723"/>
      <c r="N1" s="1694"/>
      <c r="O1" s="1695"/>
      <c r="P1" s="1694"/>
      <c r="Q1" s="1694"/>
      <c r="R1" s="1694"/>
      <c r="S1" s="1694"/>
      <c r="T1" s="1694"/>
      <c r="U1" s="1694"/>
    </row>
    <row r="2" spans="1:21">
      <c r="A2" s="1660" t="s">
        <v>1940</v>
      </c>
      <c r="B2" s="1842" t="s">
        <v>3284</v>
      </c>
      <c r="D2" s="1694"/>
      <c r="E2" s="1694"/>
      <c r="F2" s="1694"/>
      <c r="G2" s="1694"/>
      <c r="H2" s="1660"/>
      <c r="I2" s="1695"/>
      <c r="J2" s="1694"/>
      <c r="K2" s="2480" t="str">
        <f>IF(B10="北京市","北京市",C10)&amp;F10&amp;B16&amp;"国有建设用地使用权"</f>
        <v>北京市朝阳区京顺路来广营东路（雍景桃源一期）出让国有建设用地使用权</v>
      </c>
      <c r="L2" s="1723"/>
      <c r="M2" s="1723"/>
      <c r="N2" s="1694"/>
      <c r="O2" s="1695"/>
      <c r="P2" s="1694"/>
      <c r="Q2" s="1694"/>
      <c r="R2" s="1694"/>
      <c r="S2" s="1694"/>
      <c r="T2" s="1694"/>
      <c r="U2" s="1694"/>
    </row>
    <row r="3" spans="1:21">
      <c r="A3" s="1661" t="s">
        <v>1941</v>
      </c>
      <c r="B3" s="1662">
        <v>43166</v>
      </c>
      <c r="C3" s="1663" t="s">
        <v>1996</v>
      </c>
      <c r="D3" s="1662">
        <f>B3</f>
        <v>43166</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3285</v>
      </c>
      <c r="C4" s="1846">
        <f ca="1">SUMIF(土地估价师,B4,估价师及机构信息!E3:E24)</f>
        <v>2000110082</v>
      </c>
      <c r="D4" s="1843" t="s">
        <v>3286</v>
      </c>
      <c r="E4" s="1846">
        <f ca="1">SUMIF(土地估价师,D4,估价师及机构信息!E3:E24)</f>
        <v>96010014</v>
      </c>
      <c r="F4" s="1843" t="s">
        <v>951</v>
      </c>
      <c r="G4" s="1846">
        <f>SUMIF(土地估价师,F4,估价师及机构信息!E3:E24)</f>
        <v>0</v>
      </c>
      <c r="H4" s="1843" t="s">
        <v>951</v>
      </c>
      <c r="I4" s="1846">
        <f>SUMIF(土地估价师,H4,估价师及机构信息!E3:E24)</f>
        <v>0</v>
      </c>
      <c r="J4" s="1694"/>
      <c r="K4" s="2480" t="str">
        <f>IF(AND(F4="——",H4="——"),B4&amp;"、"&amp;D4,IF(AND(F4&lt;&gt;"——",H4="——"),B4&amp;"、"&amp;D4&amp;"、"&amp;F4,B4&amp;"、"&amp;D4&amp;"、"&amp;F4&amp;"、"&amp;H4))</f>
        <v>欧红伟、梁津</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t="s">
        <v>3287</v>
      </c>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2709</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3288</v>
      </c>
      <c r="C8" s="1671"/>
      <c r="D8" s="3552" t="s">
        <v>1946</v>
      </c>
      <c r="E8" s="1844"/>
      <c r="F8" s="1672"/>
      <c r="G8" s="1660"/>
      <c r="H8" s="1660"/>
      <c r="I8" s="1707"/>
      <c r="J8" s="1694"/>
      <c r="K8" s="1774"/>
      <c r="L8" s="1723"/>
      <c r="M8" s="1723"/>
      <c r="N8" s="1694"/>
      <c r="O8" s="1695"/>
      <c r="P8" s="1694"/>
      <c r="Q8" s="1694"/>
      <c r="R8" s="1694"/>
      <c r="S8" s="1694"/>
      <c r="T8" s="1694"/>
      <c r="U8" s="1694"/>
    </row>
    <row r="9" spans="1:21" ht="15" thickBot="1">
      <c r="A9" s="1673" t="s">
        <v>1945</v>
      </c>
      <c r="B9" s="1674" t="s">
        <v>3289</v>
      </c>
      <c r="C9" s="1675"/>
      <c r="D9" s="3553"/>
      <c r="E9" s="1674"/>
      <c r="F9" s="1747"/>
      <c r="G9" s="1742"/>
      <c r="H9" s="1742"/>
      <c r="I9" s="1743"/>
      <c r="J9" s="1694"/>
      <c r="K9" s="1774"/>
      <c r="L9" s="1723"/>
      <c r="M9" s="1723"/>
      <c r="N9" s="1694"/>
      <c r="O9" s="1695"/>
      <c r="P9" s="1694"/>
      <c r="Q9" s="1694"/>
      <c r="R9" s="1694"/>
      <c r="S9" s="1694"/>
      <c r="T9" s="1694"/>
      <c r="U9" s="1694"/>
    </row>
    <row r="10" spans="1:21" ht="15" thickTop="1">
      <c r="A10" s="1744" t="s">
        <v>1999</v>
      </c>
      <c r="B10" s="1719" t="s">
        <v>1947</v>
      </c>
      <c r="C10" s="1676"/>
      <c r="D10" s="1667"/>
      <c r="E10" s="1677" t="s">
        <v>1948</v>
      </c>
      <c r="F10" s="1678" t="s">
        <v>3290</v>
      </c>
      <c r="G10" s="1745"/>
      <c r="H10" s="1746"/>
      <c r="I10" s="1667"/>
      <c r="J10" s="1694"/>
      <c r="K10" s="1774"/>
      <c r="L10" s="1723"/>
      <c r="M10" s="1723"/>
      <c r="N10" s="1694"/>
      <c r="O10" s="1695"/>
      <c r="P10" s="1694"/>
      <c r="Q10" s="1694"/>
      <c r="R10" s="1694"/>
      <c r="S10" s="1694"/>
      <c r="T10" s="1694"/>
      <c r="U10" s="1694"/>
    </row>
    <row r="11" spans="1:21">
      <c r="A11" s="1697" t="s">
        <v>2000</v>
      </c>
      <c r="B11" s="1698" t="s">
        <v>3291</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2058</v>
      </c>
      <c r="B12" s="3549" t="s">
        <v>3292</v>
      </c>
      <c r="C12" s="3550"/>
      <c r="D12" s="3551"/>
      <c r="E12" s="1699" t="s">
        <v>2061</v>
      </c>
      <c r="F12" s="3567" t="s">
        <v>2891</v>
      </c>
      <c r="G12" s="3568"/>
      <c r="H12" s="3568"/>
      <c r="I12" s="3569"/>
      <c r="J12" s="1694"/>
      <c r="K12" s="1774"/>
      <c r="L12" s="1723"/>
      <c r="M12" s="1723"/>
      <c r="N12" s="1694"/>
      <c r="O12" s="1695"/>
      <c r="P12" s="1694"/>
      <c r="Q12" s="1694"/>
      <c r="R12" s="1694"/>
      <c r="S12" s="1694"/>
      <c r="T12" s="1694"/>
      <c r="U12" s="1694"/>
    </row>
    <row r="13" spans="1:21">
      <c r="A13" s="1687" t="s">
        <v>2059</v>
      </c>
      <c r="B13" s="3549" t="s">
        <v>3293</v>
      </c>
      <c r="C13" s="3550"/>
      <c r="D13" s="3551"/>
      <c r="E13" s="1699" t="s">
        <v>2061</v>
      </c>
      <c r="F13" s="3567" t="s">
        <v>3294</v>
      </c>
      <c r="G13" s="3568"/>
      <c r="H13" s="3568"/>
      <c r="I13" s="3569"/>
      <c r="J13" s="1694"/>
      <c r="K13" s="1774"/>
      <c r="L13" s="1723"/>
      <c r="M13" s="1723"/>
      <c r="N13" s="1694"/>
      <c r="O13" s="1695"/>
      <c r="P13" s="1694"/>
      <c r="Q13" s="1694"/>
      <c r="R13" s="1694"/>
      <c r="S13" s="1694"/>
      <c r="T13" s="1694"/>
      <c r="U13" s="1694"/>
    </row>
    <row r="14" spans="1:21">
      <c r="A14" s="1661" t="s">
        <v>2062</v>
      </c>
      <c r="B14" s="1699"/>
      <c r="C14" s="1845" t="s">
        <v>3295</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42.75">
      <c r="A16" s="1680" t="s">
        <v>1949</v>
      </c>
      <c r="B16" s="1681" t="s">
        <v>3193</v>
      </c>
      <c r="C16" s="1699" t="s">
        <v>1950</v>
      </c>
      <c r="D16" s="2672" t="s">
        <v>1951</v>
      </c>
      <c r="E16" s="1722"/>
      <c r="F16" s="1722"/>
      <c r="G16" s="1722"/>
      <c r="H16" s="1722"/>
      <c r="I16" s="1686" t="s">
        <v>1956</v>
      </c>
      <c r="J16" s="1694"/>
      <c r="K16" s="2481" t="str">
        <f>IF(D17="","",D16&amp;TEXT(D17,"yyyy年m月d日;;"))</f>
        <v>住宅2067年10月19日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1957</v>
      </c>
      <c r="D17" s="1700">
        <v>61289</v>
      </c>
      <c r="E17" s="1700"/>
      <c r="F17" s="1700"/>
      <c r="G17" s="1700"/>
      <c r="H17" s="1700"/>
      <c r="I17" s="1700"/>
      <c r="J17" s="1694"/>
      <c r="K17" s="2480" t="str">
        <f>CONCATENATE(K16,L16,M16,N16,O16,P16,Q16,R16,S16,T16,,U16)</f>
        <v>住宅2067年10月19日</v>
      </c>
      <c r="L17" s="1723"/>
      <c r="M17" s="1723"/>
      <c r="N17" s="1694"/>
      <c r="O17" s="1695"/>
      <c r="P17" s="1694"/>
      <c r="Q17" s="1694"/>
      <c r="R17" s="1694"/>
      <c r="S17" s="1694"/>
      <c r="T17" s="1694"/>
      <c r="U17" s="1694"/>
    </row>
    <row r="18" spans="1:21">
      <c r="A18" s="1763"/>
      <c r="B18" s="1682"/>
      <c r="C18" s="1683" t="s">
        <v>1958</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49.65</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2060</v>
      </c>
      <c r="D20" s="3564"/>
      <c r="E20" s="3565"/>
      <c r="F20" s="3565"/>
      <c r="G20" s="3565"/>
      <c r="H20" s="3565"/>
      <c r="I20" s="3566"/>
      <c r="J20" s="1694"/>
      <c r="K20" s="1774"/>
      <c r="L20" s="1723"/>
      <c r="M20" s="1723"/>
      <c r="N20" s="1694"/>
      <c r="O20" s="1695"/>
      <c r="P20" s="1694"/>
      <c r="Q20" s="1694"/>
      <c r="R20" s="1694"/>
      <c r="S20" s="1694"/>
      <c r="T20" s="1694"/>
      <c r="U20" s="1694"/>
    </row>
    <row r="21" spans="1:21">
      <c r="A21" s="1763" t="s">
        <v>1960</v>
      </c>
      <c r="B21" s="1764" t="s">
        <v>1961</v>
      </c>
      <c r="C21" s="1759">
        <f>'数据-汇总表'!E3</f>
        <v>104884.84999999999</v>
      </c>
      <c r="D21" s="1760" t="s">
        <v>1962</v>
      </c>
      <c r="E21" s="3554" t="s">
        <v>3296</v>
      </c>
      <c r="F21" s="3555"/>
      <c r="G21" s="3555"/>
      <c r="H21" s="3555"/>
      <c r="I21" s="3556"/>
      <c r="J21" s="1694"/>
      <c r="K21" s="1774"/>
      <c r="L21" s="1723"/>
      <c r="M21" s="1723"/>
      <c r="N21" s="1694"/>
      <c r="O21" s="1695"/>
      <c r="P21" s="1694"/>
      <c r="Q21" s="1694"/>
      <c r="R21" s="1694"/>
      <c r="S21" s="1694"/>
      <c r="T21" s="1694"/>
      <c r="U21" s="1694"/>
    </row>
    <row r="22" spans="1:21">
      <c r="A22" s="2663" t="s">
        <v>951</v>
      </c>
      <c r="B22" s="1661" t="s">
        <v>1963</v>
      </c>
      <c r="C22" s="1686">
        <f>'数据-汇总表'!D3</f>
        <v>99890.33</v>
      </c>
      <c r="D22" s="1687" t="s">
        <v>1962</v>
      </c>
      <c r="E22" s="3554" t="s">
        <v>3297</v>
      </c>
      <c r="F22" s="3555"/>
      <c r="G22" s="3555"/>
      <c r="H22" s="3555"/>
      <c r="I22" s="3556"/>
      <c r="J22" s="1694"/>
      <c r="K22" s="1774"/>
      <c r="L22" s="1723"/>
      <c r="M22" s="1723"/>
      <c r="N22" s="1694"/>
      <c r="O22" s="1695"/>
      <c r="P22" s="1694"/>
      <c r="Q22" s="1694"/>
      <c r="R22" s="1694"/>
      <c r="S22" s="1694"/>
      <c r="T22" s="1694"/>
      <c r="U22" s="1694"/>
    </row>
    <row r="23" spans="1:21" ht="43.5" thickBot="1">
      <c r="A23" s="1765" t="s">
        <v>1964</v>
      </c>
      <c r="B23" s="1701" t="s">
        <v>1965</v>
      </c>
      <c r="C23" s="1702" t="s">
        <v>3298</v>
      </c>
      <c r="D23" s="1703" t="s">
        <v>1966</v>
      </c>
      <c r="E23" s="1704" t="s">
        <v>951</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557" t="s">
        <v>1968</v>
      </c>
      <c r="C24" s="3558"/>
      <c r="D24" s="3559" t="s">
        <v>1969</v>
      </c>
      <c r="E24" s="3560"/>
      <c r="F24" s="1708" t="s">
        <v>1970</v>
      </c>
      <c r="G24" s="1694"/>
      <c r="H24" s="1694"/>
      <c r="I24" s="1707"/>
      <c r="J24" s="1694"/>
      <c r="K24" s="3545" t="s">
        <v>1971</v>
      </c>
      <c r="L24" s="2482"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3"/>
      <c r="N24" s="1694"/>
      <c r="O24" s="1695"/>
      <c r="P24" s="1694"/>
      <c r="Q24" s="1694"/>
      <c r="R24" s="1694"/>
      <c r="S24" s="1694"/>
      <c r="T24" s="1694"/>
      <c r="U24" s="1694"/>
    </row>
    <row r="25" spans="1:21" ht="28.5">
      <c r="A25" s="1751"/>
      <c r="B25" s="1748" t="s">
        <v>1972</v>
      </c>
      <c r="C25" s="1709" t="s">
        <v>2325</v>
      </c>
      <c r="D25" s="1710"/>
      <c r="E25" s="1711" t="s">
        <v>951</v>
      </c>
      <c r="F25" s="1712"/>
      <c r="G25" s="1694"/>
      <c r="H25" s="1694"/>
      <c r="I25" s="1707"/>
      <c r="J25" s="1694"/>
      <c r="K25" s="3545"/>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15" thickBot="1">
      <c r="A26" s="1752"/>
      <c r="B26" s="1749"/>
      <c r="C26" s="1709"/>
      <c r="D26" s="1660"/>
      <c r="E26" s="1660"/>
      <c r="F26" s="1688"/>
      <c r="G26" s="1694"/>
      <c r="H26" s="1694"/>
      <c r="I26" s="1707"/>
      <c r="J26" s="1694"/>
      <c r="K26" s="3545"/>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77"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78"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78"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79" t="s">
        <v>1977</v>
      </c>
      <c r="E30" s="1718"/>
      <c r="F30" s="1689"/>
      <c r="G30" s="1742"/>
      <c r="H30" s="1742"/>
      <c r="I30" s="1743"/>
      <c r="J30" s="1694"/>
      <c r="K30" s="1774"/>
      <c r="L30" s="1723"/>
      <c r="M30" s="1723"/>
      <c r="N30" s="1694"/>
      <c r="O30" s="1695"/>
      <c r="P30" s="1694"/>
      <c r="Q30" s="1694"/>
      <c r="R30" s="1694"/>
      <c r="S30" s="1694"/>
      <c r="T30" s="1694"/>
      <c r="U30" s="1694"/>
    </row>
    <row r="31" spans="1:21" ht="15" thickTop="1">
      <c r="A31" s="3531" t="s">
        <v>2001</v>
      </c>
      <c r="B31" s="1764" t="s">
        <v>2002</v>
      </c>
      <c r="C31" s="3570" t="s">
        <v>3299</v>
      </c>
      <c r="D31" s="3571"/>
      <c r="E31" s="1694"/>
      <c r="F31" s="1694"/>
      <c r="G31" s="1694"/>
      <c r="H31" s="1694"/>
      <c r="I31" s="1707"/>
      <c r="J31" s="1694"/>
      <c r="K31" s="2483"/>
      <c r="L31" s="1694"/>
      <c r="M31" s="1694"/>
      <c r="N31" s="1694"/>
      <c r="O31" s="1694"/>
      <c r="P31" s="1694"/>
      <c r="Q31" s="1694"/>
      <c r="R31" s="1694"/>
      <c r="S31" s="1694"/>
      <c r="T31" s="1694"/>
      <c r="U31" s="1694"/>
    </row>
    <row r="32" spans="1:21">
      <c r="A32" s="3531"/>
      <c r="B32" s="1661" t="s">
        <v>2003</v>
      </c>
      <c r="C32" s="1719" t="s">
        <v>3300</v>
      </c>
      <c r="D32" s="1720"/>
      <c r="E32" s="1694"/>
      <c r="F32" s="1694"/>
      <c r="G32" s="1694"/>
      <c r="H32" s="1694"/>
      <c r="I32" s="1707"/>
      <c r="J32" s="1694"/>
      <c r="K32" s="2483"/>
      <c r="L32" s="1694"/>
      <c r="M32" s="1694"/>
      <c r="N32" s="1694"/>
      <c r="O32" s="1694"/>
      <c r="P32" s="1694"/>
      <c r="Q32" s="1694"/>
      <c r="R32" s="1694"/>
      <c r="S32" s="1694"/>
      <c r="T32" s="1694"/>
      <c r="U32" s="1694"/>
    </row>
    <row r="33" spans="1:21">
      <c r="A33" s="3531"/>
      <c r="B33" s="1661" t="s">
        <v>2004</v>
      </c>
      <c r="C33" s="1721" t="s">
        <v>3298</v>
      </c>
      <c r="D33" s="1838"/>
      <c r="E33" s="1694"/>
      <c r="F33" s="1694"/>
      <c r="G33" s="1694"/>
      <c r="H33" s="1694"/>
      <c r="I33" s="1707"/>
      <c r="J33" s="1694"/>
      <c r="K33" s="2483"/>
      <c r="L33" s="1694"/>
      <c r="M33" s="1694"/>
      <c r="N33" s="1694"/>
      <c r="O33" s="1694"/>
      <c r="P33" s="1694"/>
      <c r="Q33" s="1694"/>
      <c r="R33" s="1694"/>
      <c r="S33" s="1694"/>
      <c r="T33" s="1694"/>
      <c r="U33" s="1694"/>
    </row>
    <row r="34" spans="1:21">
      <c r="A34" s="3532"/>
      <c r="B34" s="1661" t="s">
        <v>2005</v>
      </c>
      <c r="C34" s="3533"/>
      <c r="D34" s="3534"/>
      <c r="E34" s="1694"/>
      <c r="F34" s="1694"/>
      <c r="G34" s="1694"/>
      <c r="H34" s="1694"/>
      <c r="I34" s="1707"/>
      <c r="J34" s="1694"/>
      <c r="K34" s="2483"/>
      <c r="L34" s="1694"/>
      <c r="M34" s="1694"/>
      <c r="N34" s="1694"/>
      <c r="O34" s="1694"/>
      <c r="P34" s="1694"/>
      <c r="Q34" s="1694"/>
      <c r="R34" s="1694"/>
      <c r="S34" s="1694"/>
      <c r="T34" s="1694"/>
      <c r="U34" s="1694"/>
    </row>
    <row r="35" spans="1:21">
      <c r="A35" s="3535" t="s">
        <v>846</v>
      </c>
      <c r="B35" s="1722" t="s">
        <v>3301</v>
      </c>
      <c r="C35" s="1776" t="str">
        <f>IF(B35="场地平整","——","具体情况：")</f>
        <v>——</v>
      </c>
      <c r="D35" s="3537"/>
      <c r="E35" s="3538"/>
      <c r="F35" s="3538"/>
      <c r="G35" s="3538"/>
      <c r="H35" s="3538"/>
      <c r="I35" s="3539"/>
      <c r="J35" s="1694"/>
      <c r="K35" s="1775"/>
      <c r="L35" s="1723"/>
      <c r="M35" s="1723"/>
      <c r="N35" s="1694"/>
      <c r="O35" s="1695"/>
      <c r="P35" s="1694"/>
      <c r="Q35" s="1694"/>
      <c r="R35" s="1694"/>
      <c r="S35" s="1694"/>
      <c r="T35" s="1694"/>
      <c r="U35" s="1694"/>
    </row>
    <row r="36" spans="1:21">
      <c r="A36" s="3531"/>
      <c r="B36" s="3540" t="s">
        <v>2054</v>
      </c>
      <c r="C36" s="3541"/>
      <c r="D36" s="1792" t="s">
        <v>3302</v>
      </c>
      <c r="E36" s="3542"/>
      <c r="F36" s="3542"/>
      <c r="G36" s="1687" t="str">
        <f>IF(B35="场地未平整","估价结果处理","")</f>
        <v/>
      </c>
      <c r="H36" s="3543"/>
      <c r="I36" s="3543"/>
      <c r="J36" s="1694"/>
      <c r="K36" s="1775"/>
      <c r="L36" s="1723"/>
      <c r="M36" s="1723"/>
      <c r="N36" s="1694"/>
      <c r="O36" s="1695"/>
      <c r="P36" s="1694"/>
      <c r="Q36" s="1694"/>
      <c r="R36" s="1694"/>
      <c r="S36" s="1694"/>
      <c r="T36" s="1694"/>
      <c r="U36" s="1694"/>
    </row>
    <row r="37" spans="1:21" ht="28.5">
      <c r="A37" s="3531"/>
      <c r="B37" s="3561"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531"/>
      <c r="B38" s="3562"/>
      <c r="C38" s="1669" t="s">
        <v>849</v>
      </c>
      <c r="D38" s="1791">
        <f>ROUNDDOWN(MIN(('数据-取费表'!$B$2-D37)/365,D34),1)</f>
        <v>118.2</v>
      </c>
      <c r="E38" s="1727" t="s">
        <v>850</v>
      </c>
      <c r="F38" s="1694"/>
      <c r="G38" s="1694"/>
      <c r="H38" s="1694"/>
      <c r="I38" s="1707"/>
      <c r="J38" s="1694"/>
      <c r="K38" s="1775"/>
      <c r="L38" s="1694"/>
      <c r="M38" s="1694"/>
      <c r="N38" s="1694"/>
      <c r="O38" s="1694"/>
      <c r="P38" s="1694"/>
      <c r="Q38" s="1694"/>
      <c r="R38" s="1694"/>
      <c r="S38" s="1694"/>
      <c r="T38" s="1694"/>
      <c r="U38" s="1694"/>
    </row>
    <row r="39" spans="1:21">
      <c r="A39" s="3532"/>
      <c r="B39" s="356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3303</v>
      </c>
      <c r="C40" s="1690" t="s">
        <v>3304</v>
      </c>
      <c r="D40" s="1690" t="s">
        <v>3305</v>
      </c>
      <c r="E40" s="1690" t="s">
        <v>3306</v>
      </c>
      <c r="F40" s="1690" t="s">
        <v>3307</v>
      </c>
      <c r="G40" s="1690" t="s">
        <v>3308</v>
      </c>
      <c r="H40" s="1690" t="s">
        <v>3309</v>
      </c>
      <c r="I40" s="1707"/>
      <c r="J40" s="1694"/>
      <c r="K40" s="1730">
        <f>COUNTIF(B40:H40,"——")</f>
        <v>0</v>
      </c>
      <c r="L40" s="1699" t="s">
        <v>1979</v>
      </c>
      <c r="M40" s="1696" t="s">
        <v>1980</v>
      </c>
      <c r="N40" s="1696" t="s">
        <v>1981</v>
      </c>
      <c r="O40" s="1696" t="s">
        <v>1982</v>
      </c>
      <c r="P40" s="1696" t="s">
        <v>1983</v>
      </c>
      <c r="Q40" s="1696" t="s">
        <v>1984</v>
      </c>
      <c r="R40" s="1696" t="s">
        <v>1985</v>
      </c>
      <c r="S40" s="3544" t="s">
        <v>1986</v>
      </c>
      <c r="T40" s="1731" t="str">
        <f>NUMBERSTRING(7-K40,1)&amp;"通"</f>
        <v>七通</v>
      </c>
      <c r="U40" s="1694"/>
    </row>
    <row r="41" spans="1:21">
      <c r="A41" s="1663"/>
      <c r="B41" s="3536" t="s">
        <v>1721</v>
      </c>
      <c r="C41" s="3536"/>
      <c r="D41" s="3536"/>
      <c r="E41" s="3536"/>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544"/>
      <c r="T41" s="1733" t="str">
        <f>IF(T40="一通",L41,IF(T40="二通",M41,IF(T40="三通",N41,IF(T40="四通",O41,IF(T40="五通",P41,IF(T40="六通",Q41,R41))))))</f>
        <v>通路、通电、通讯、通上水、通下水、通热、燃气</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2892</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2006</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2" t="s">
        <v>2016</v>
      </c>
      <c r="K48" s="1766" t="s">
        <v>2017</v>
      </c>
      <c r="L48" s="1766" t="s">
        <v>2018</v>
      </c>
      <c r="M48" s="1766" t="s">
        <v>2019</v>
      </c>
      <c r="N48" s="1686" t="s">
        <v>2020</v>
      </c>
      <c r="O48" s="1686" t="s">
        <v>2021</v>
      </c>
      <c r="P48" s="1686" t="s">
        <v>2022</v>
      </c>
      <c r="Q48" s="1699" t="s">
        <v>2023</v>
      </c>
      <c r="R48" s="1699" t="s">
        <v>2024</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H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165</v>
      </c>
      <c r="AZ2" s="2361" t="s">
        <v>2332</v>
      </c>
      <c r="BA2" s="2362"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99890.33</v>
      </c>
      <c r="B3" s="22">
        <f>IF(C3="否",G5-AT5,G5)</f>
        <v>104884.84999999999</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166</v>
      </c>
      <c r="B5" s="989"/>
      <c r="C5" s="989"/>
      <c r="D5" s="996"/>
      <c r="E5" s="27" t="s">
        <v>1</v>
      </c>
      <c r="F5" s="27">
        <f>SUM(F13:F572)</f>
        <v>0</v>
      </c>
      <c r="G5" s="27">
        <f>SUM(G13:G572)</f>
        <v>104884.84999999999</v>
      </c>
      <c r="H5" s="27">
        <f t="shared" ref="H5:AT5" si="0">SUM(H13:H641)</f>
        <v>103133.26999999999</v>
      </c>
      <c r="I5" s="27">
        <f t="shared" si="0"/>
        <v>3609.66</v>
      </c>
      <c r="J5" s="27">
        <f t="shared" si="0"/>
        <v>0</v>
      </c>
      <c r="K5" s="27">
        <f t="shared" si="0"/>
        <v>15882.52</v>
      </c>
      <c r="L5" s="27">
        <f t="shared" si="0"/>
        <v>0</v>
      </c>
      <c r="M5" s="27">
        <f t="shared" si="0"/>
        <v>83641.09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1751.58</v>
      </c>
      <c r="AD5" s="27">
        <f t="shared" si="0"/>
        <v>1751.58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166</v>
      </c>
      <c r="AW5" s="989"/>
      <c r="AX5" s="989"/>
      <c r="AY5" s="28" t="s">
        <v>3</v>
      </c>
      <c r="AZ5" s="29">
        <f t="shared" ref="AZ5:BT5" si="1">SUM(AZ13:AZ641)</f>
        <v>104884.84999999999</v>
      </c>
      <c r="BA5" s="29">
        <f t="shared" si="1"/>
        <v>103133.26999999999</v>
      </c>
      <c r="BB5" s="29">
        <f t="shared" si="1"/>
        <v>3609.66</v>
      </c>
      <c r="BC5" s="29">
        <f t="shared" si="1"/>
        <v>15882.52</v>
      </c>
      <c r="BD5" s="29">
        <f t="shared" si="1"/>
        <v>83641.09</v>
      </c>
      <c r="BE5" s="29">
        <f t="shared" si="1"/>
        <v>0</v>
      </c>
      <c r="BF5" s="29">
        <f t="shared" si="1"/>
        <v>0</v>
      </c>
      <c r="BG5" s="29">
        <f t="shared" si="1"/>
        <v>0</v>
      </c>
      <c r="BH5" s="29">
        <f t="shared" si="1"/>
        <v>0</v>
      </c>
      <c r="BI5" s="29">
        <f t="shared" si="1"/>
        <v>0</v>
      </c>
      <c r="BJ5" s="29">
        <f t="shared" si="1"/>
        <v>0</v>
      </c>
      <c r="BK5" s="29">
        <f t="shared" si="1"/>
        <v>0</v>
      </c>
      <c r="BL5" s="29">
        <f t="shared" si="1"/>
        <v>1751.58</v>
      </c>
      <c r="BM5" s="29">
        <f t="shared" si="1"/>
        <v>1751.58</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167</v>
      </c>
      <c r="B6" s="31"/>
      <c r="C6" s="31"/>
      <c r="D6" s="32"/>
      <c r="E6" s="27">
        <f>H6+AC6+AT6</f>
        <v>99890.329999999987</v>
      </c>
      <c r="F6" s="27" t="s">
        <v>1</v>
      </c>
      <c r="G6" s="27" t="s">
        <v>2</v>
      </c>
      <c r="H6" s="33">
        <f>SUMIF(I$12:AB$12,"总值",I6:AB6)</f>
        <v>98222.159999999989</v>
      </c>
      <c r="I6" s="27">
        <f t="shared" ref="I6:AB6" si="2">ROUND($A$3*I5/$B$3,2)</f>
        <v>3437.77</v>
      </c>
      <c r="J6" s="27">
        <f t="shared" si="2"/>
        <v>0</v>
      </c>
      <c r="K6" s="27">
        <f t="shared" si="2"/>
        <v>15126.21</v>
      </c>
      <c r="L6" s="27">
        <f t="shared" si="2"/>
        <v>0</v>
      </c>
      <c r="M6" s="27">
        <f t="shared" si="2"/>
        <v>79658.179999999993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1668.17</v>
      </c>
      <c r="AD6" s="27">
        <f t="shared" ref="AD6:AS6" si="3">ROUND($A$3*AD5/$B$3,2)</f>
        <v>1668.17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IF(AY3&gt;0,AY3,ROUND($A$3*AZ5/$B$3,2))</f>
        <v>99890.33</v>
      </c>
      <c r="AZ6" s="27" t="s">
        <v>3</v>
      </c>
      <c r="BA6" s="27">
        <f>ROUND($AY$6*BA5/$AZ$5,2)</f>
        <v>98222.16</v>
      </c>
      <c r="BB6" s="27">
        <f>ROUND($AY$6*BB5/$AZ$5,2)</f>
        <v>3437.77</v>
      </c>
      <c r="BC6" s="27">
        <f t="shared" ref="BC6:BH6" si="4">ROUND($AY$6*BC5/$AZ$5,2)</f>
        <v>15126.21</v>
      </c>
      <c r="BD6" s="27">
        <f t="shared" si="4"/>
        <v>79658.179999999993</v>
      </c>
      <c r="BE6" s="27">
        <f t="shared" si="4"/>
        <v>0</v>
      </c>
      <c r="BF6" s="27">
        <f t="shared" si="4"/>
        <v>0</v>
      </c>
      <c r="BG6" s="27">
        <f t="shared" si="4"/>
        <v>0</v>
      </c>
      <c r="BH6" s="27">
        <f t="shared" si="4"/>
        <v>0</v>
      </c>
      <c r="BI6" s="27">
        <f t="shared" ref="BI6:BT6" si="5">ROUND($AY$6*BI5/$AZ$5,2)</f>
        <v>0</v>
      </c>
      <c r="BJ6" s="27">
        <f t="shared" si="5"/>
        <v>0</v>
      </c>
      <c r="BK6" s="27">
        <f t="shared" si="5"/>
        <v>0</v>
      </c>
      <c r="BL6" s="27">
        <f t="shared" si="5"/>
        <v>1668.17</v>
      </c>
      <c r="BM6" s="27">
        <f t="shared" si="5"/>
        <v>1668.17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175</v>
      </c>
      <c r="AV7" s="41" t="s">
        <v>176</v>
      </c>
      <c r="AW7" s="42" t="s">
        <v>177</v>
      </c>
      <c r="AX7" s="41" t="s">
        <v>178</v>
      </c>
      <c r="AY7" s="989"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1001"/>
      <c r="K8" s="1001"/>
      <c r="L8" s="1001"/>
      <c r="M8" s="1001"/>
      <c r="N8" s="1001"/>
      <c r="O8" s="1001"/>
      <c r="P8" s="1001"/>
      <c r="Q8" s="1001"/>
      <c r="R8" s="1001"/>
      <c r="S8" s="1001"/>
      <c r="T8" s="1001"/>
      <c r="U8" s="1001"/>
      <c r="V8" s="49"/>
      <c r="W8" s="1001"/>
      <c r="X8" s="1001"/>
      <c r="Y8" s="1001"/>
      <c r="Z8" s="1001"/>
      <c r="AA8" s="49"/>
      <c r="AB8" s="50"/>
      <c r="AC8" s="51" t="s">
        <v>182</v>
      </c>
      <c r="AD8" s="52"/>
      <c r="AE8" s="43"/>
      <c r="AF8" s="1001"/>
      <c r="AG8" s="1001"/>
      <c r="AH8" s="1001"/>
      <c r="AI8" s="1001"/>
      <c r="AJ8" s="1001"/>
      <c r="AK8" s="1001"/>
      <c r="AL8" s="1001"/>
      <c r="AM8" s="1001"/>
      <c r="AN8" s="1001"/>
      <c r="AO8" s="1001"/>
      <c r="AP8" s="1001"/>
      <c r="AQ8" s="1001"/>
      <c r="AR8" s="1001"/>
      <c r="AS8" s="2298"/>
      <c r="AT8" s="2329" t="s">
        <v>854</v>
      </c>
      <c r="AU8" s="45" t="s">
        <v>183</v>
      </c>
      <c r="AV8" s="55"/>
      <c r="AW8" s="1003"/>
      <c r="AX8" s="55"/>
      <c r="AY8" s="42" t="s">
        <v>184</v>
      </c>
      <c r="AZ8" s="1000" t="s">
        <v>185</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186</v>
      </c>
      <c r="I9" s="3045" t="s">
        <v>3194</v>
      </c>
      <c r="J9" s="51"/>
      <c r="K9" s="3045" t="s">
        <v>3194</v>
      </c>
      <c r="L9" s="51"/>
      <c r="M9" s="3045" t="s">
        <v>3194</v>
      </c>
      <c r="N9" s="51"/>
      <c r="O9" s="59"/>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7" t="s">
        <v>189</v>
      </c>
      <c r="AQ9" s="1189"/>
      <c r="AR9" s="1187" t="s">
        <v>190</v>
      </c>
      <c r="AS9" s="2330"/>
      <c r="AT9" s="45"/>
      <c r="AU9" s="45" t="s">
        <v>192</v>
      </c>
      <c r="AV9" s="55"/>
      <c r="AW9" s="1003"/>
      <c r="AX9" s="55"/>
      <c r="AY9" s="62"/>
      <c r="AZ9" s="62" t="s">
        <v>193</v>
      </c>
      <c r="BA9" s="63" t="s">
        <v>194</v>
      </c>
      <c r="BB9" s="64"/>
      <c r="BC9" s="995"/>
      <c r="BD9" s="995"/>
      <c r="BE9" s="995"/>
      <c r="BF9" s="995"/>
      <c r="BG9" s="995"/>
      <c r="BH9" s="995"/>
      <c r="BI9" s="995"/>
      <c r="BJ9" s="995"/>
      <c r="BK9" s="65"/>
      <c r="BL9" s="26" t="s">
        <v>195</v>
      </c>
      <c r="BM9" s="1001"/>
      <c r="BN9" s="48"/>
      <c r="BO9" s="1001"/>
      <c r="BP9" s="1001"/>
      <c r="BQ9" s="1001"/>
      <c r="BR9" s="1001"/>
      <c r="BS9" s="1001"/>
      <c r="BT9" s="56"/>
    </row>
    <row r="10" spans="1:72" s="57" customFormat="1" ht="12.75">
      <c r="A10" s="45"/>
      <c r="B10" s="45"/>
      <c r="C10" s="45"/>
      <c r="D10" s="45"/>
      <c r="E10" s="45"/>
      <c r="F10" s="45"/>
      <c r="G10" s="55"/>
      <c r="H10" s="62"/>
      <c r="I10" s="3045" t="s">
        <v>922</v>
      </c>
      <c r="J10" s="51"/>
      <c r="K10" s="3047" t="s">
        <v>922</v>
      </c>
      <c r="L10" s="51"/>
      <c r="M10" s="3047" t="s">
        <v>922</v>
      </c>
      <c r="N10" s="51"/>
      <c r="O10" s="66"/>
      <c r="P10" s="51"/>
      <c r="Q10" s="66"/>
      <c r="R10" s="51"/>
      <c r="S10" s="66"/>
      <c r="T10" s="51"/>
      <c r="U10" s="66"/>
      <c r="V10" s="51"/>
      <c r="W10" s="66"/>
      <c r="X10" s="51"/>
      <c r="Y10" s="66"/>
      <c r="Z10" s="51"/>
      <c r="AA10" s="66"/>
      <c r="AB10" s="51"/>
      <c r="AC10" s="55"/>
      <c r="AD10" s="2315" t="s">
        <v>2317</v>
      </c>
      <c r="AE10" s="2337"/>
      <c r="AF10" s="2315" t="s">
        <v>2317</v>
      </c>
      <c r="AG10" s="2337"/>
      <c r="AH10" s="2315" t="s">
        <v>2318</v>
      </c>
      <c r="AI10" s="2337"/>
      <c r="AJ10" s="26" t="s">
        <v>2330</v>
      </c>
      <c r="AK10" s="2334"/>
      <c r="AL10" s="2315" t="s">
        <v>2319</v>
      </c>
      <c r="AM10" s="2316"/>
      <c r="AN10" s="26" t="s">
        <v>196</v>
      </c>
      <c r="AO10" s="61"/>
      <c r="AP10" s="1187" t="s">
        <v>197</v>
      </c>
      <c r="AQ10" s="1189"/>
      <c r="AR10" s="1187" t="s">
        <v>197</v>
      </c>
      <c r="AS10" s="1189"/>
      <c r="AT10" s="45"/>
      <c r="AU10" s="45"/>
      <c r="AV10" s="55"/>
      <c r="AW10" s="1003"/>
      <c r="AX10" s="55"/>
      <c r="AY10" s="62"/>
      <c r="AZ10" s="62"/>
      <c r="BA10" s="67" t="s">
        <v>191</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191</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3310</v>
      </c>
      <c r="J11" s="71"/>
      <c r="K11" s="3046" t="s">
        <v>3314</v>
      </c>
      <c r="L11" s="71"/>
      <c r="M11" s="70" t="s">
        <v>3315</v>
      </c>
      <c r="N11" s="71"/>
      <c r="O11" s="70"/>
      <c r="P11" s="71"/>
      <c r="Q11" s="70"/>
      <c r="R11" s="71"/>
      <c r="S11" s="70"/>
      <c r="T11" s="71"/>
      <c r="U11" s="70"/>
      <c r="V11" s="71"/>
      <c r="W11" s="70"/>
      <c r="X11" s="71"/>
      <c r="Y11" s="70"/>
      <c r="Z11" s="71"/>
      <c r="AA11" s="70"/>
      <c r="AB11" s="71"/>
      <c r="AC11" s="55"/>
      <c r="AD11" s="2335" t="s">
        <v>2329</v>
      </c>
      <c r="AE11" s="1002"/>
      <c r="AF11" s="2335" t="s">
        <v>2329</v>
      </c>
      <c r="AG11" s="1002"/>
      <c r="AH11" s="2335" t="s">
        <v>2328</v>
      </c>
      <c r="AI11" s="2336"/>
      <c r="AJ11" s="2335" t="s">
        <v>2328</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8" t="s">
        <v>199</v>
      </c>
      <c r="W12" s="17" t="s">
        <v>198</v>
      </c>
      <c r="X12" s="17" t="s">
        <v>199</v>
      </c>
      <c r="Y12" s="17" t="s">
        <v>198</v>
      </c>
      <c r="Z12" s="17" t="s">
        <v>199</v>
      </c>
      <c r="AA12" s="17" t="s">
        <v>198</v>
      </c>
      <c r="AB12" s="17" t="s">
        <v>199</v>
      </c>
      <c r="AC12" s="75"/>
      <c r="AD12" s="996" t="s">
        <v>198</v>
      </c>
      <c r="AE12" s="17" t="s">
        <v>199</v>
      </c>
      <c r="AF12" s="17" t="s">
        <v>198</v>
      </c>
      <c r="AG12" s="17" t="s">
        <v>199</v>
      </c>
      <c r="AH12" s="17" t="s">
        <v>198</v>
      </c>
      <c r="AI12" s="17" t="s">
        <v>199</v>
      </c>
      <c r="AJ12" s="17" t="s">
        <v>198</v>
      </c>
      <c r="AK12" s="17" t="s">
        <v>199</v>
      </c>
      <c r="AL12" s="17" t="s">
        <v>198</v>
      </c>
      <c r="AM12" s="17" t="s">
        <v>199</v>
      </c>
      <c r="AN12" s="17" t="s">
        <v>198</v>
      </c>
      <c r="AO12" s="17" t="s">
        <v>199</v>
      </c>
      <c r="AP12" s="1186" t="s">
        <v>198</v>
      </c>
      <c r="AQ12" s="1186" t="s">
        <v>199</v>
      </c>
      <c r="AR12" s="1192" t="s">
        <v>198</v>
      </c>
      <c r="AS12" s="1191" t="s">
        <v>199</v>
      </c>
      <c r="AT12" s="76"/>
      <c r="AU12" s="72"/>
      <c r="AV12" s="77"/>
      <c r="AW12" s="42"/>
      <c r="AX12" s="77"/>
      <c r="AY12" s="78"/>
      <c r="AZ12" s="62"/>
      <c r="BA12" s="67"/>
      <c r="BB12" s="53" t="str">
        <f>I11</f>
        <v>250合院</v>
      </c>
      <c r="BC12" s="79" t="str">
        <f>K11</f>
        <v>200合院</v>
      </c>
      <c r="BD12" s="79" t="str">
        <f>M11</f>
        <v>180叠拼</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1678</v>
      </c>
      <c r="E13" s="27">
        <f t="shared" ref="E13:E20" si="6">IF($C$3="是",ROUND($A$3*G13/$B$3,2),ROUND($A$3*(G13-AT13)/$B$3,2))</f>
        <v>99890.33</v>
      </c>
      <c r="F13" s="81"/>
      <c r="G13" s="82">
        <f t="shared" ref="G13:G20" si="7">H13+AC13+AT13</f>
        <v>104884.84999999999</v>
      </c>
      <c r="H13" s="33">
        <f t="shared" ref="H13:H20" si="8">SUMIF(I$12:AB$12,"总值",I13:AB13)</f>
        <v>103133.26999999999</v>
      </c>
      <c r="I13" s="3044">
        <f>ROUND((A3*1.05-AD13)*0.035,2)</f>
        <v>3609.66</v>
      </c>
      <c r="J13" s="3044"/>
      <c r="K13" s="3044">
        <f>ROUND((A3*1.05-AD13)*0.154,2)</f>
        <v>15882.52</v>
      </c>
      <c r="L13" s="3044"/>
      <c r="M13" s="3044">
        <f>ROUND(A3*1.05,2)-AD13-I13-K13</f>
        <v>83641.09</v>
      </c>
      <c r="N13" s="83"/>
      <c r="O13" s="83"/>
      <c r="P13" s="83"/>
      <c r="Q13" s="83"/>
      <c r="R13" s="83"/>
      <c r="S13" s="83"/>
      <c r="T13" s="83"/>
      <c r="U13" s="83"/>
      <c r="V13" s="83"/>
      <c r="W13" s="83"/>
      <c r="X13" s="83"/>
      <c r="Y13" s="83"/>
      <c r="Z13" s="83"/>
      <c r="AA13" s="83"/>
      <c r="AB13" s="83"/>
      <c r="AC13" s="27">
        <f t="shared" ref="AC13:AC20" si="9">SUMIF(AD$12:AS$12,"总值",AD13:AS13)</f>
        <v>1751.58</v>
      </c>
      <c r="AD13" s="3048">
        <f>ROUND(A3*1.05*0.0167,2)</f>
        <v>1751.58</v>
      </c>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f t="shared" si="10"/>
        <v>0</v>
      </c>
      <c r="AY13" s="996">
        <f t="shared" ref="AY13:AY20" si="11">ROUND($AY$6*AZ13/$AZ$5,2)</f>
        <v>99890.33</v>
      </c>
      <c r="AZ13" s="27">
        <f t="shared" ref="AZ13:AZ20" si="12">BA13+BL13</f>
        <v>104884.84999999999</v>
      </c>
      <c r="BA13" s="27">
        <f t="shared" ref="BA13:BA20" si="13">SUM(BB13:BK13)</f>
        <v>103133.26999999999</v>
      </c>
      <c r="BB13" s="27">
        <f t="shared" ref="BB13:BB20" si="14">IF($D13="是",I13-J13,0)</f>
        <v>3609.66</v>
      </c>
      <c r="BC13" s="27">
        <f t="shared" ref="BC13:BC20" si="15">IF($D13="是",K13-L13,0)</f>
        <v>15882.52</v>
      </c>
      <c r="BD13" s="27">
        <f t="shared" ref="BD13:BD20" si="16">IF($D13="是",M13-N13,0)</f>
        <v>83641.09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1751.58</v>
      </c>
      <c r="BM13" s="27">
        <f t="shared" ref="BM13:BM20" si="25">IF($D13="是",AD13-AE13,0)</f>
        <v>1751.58</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2" t="s">
        <v>0</v>
      </c>
      <c r="B1" s="3572" t="s">
        <v>4</v>
      </c>
      <c r="C1" s="3572" t="s">
        <v>5</v>
      </c>
      <c r="D1" s="3573" t="s">
        <v>40</v>
      </c>
      <c r="E1" s="3573" t="s">
        <v>41</v>
      </c>
      <c r="F1" s="3573"/>
      <c r="G1" s="3573"/>
      <c r="H1" s="3573"/>
      <c r="I1" s="3573"/>
      <c r="J1" s="3573"/>
      <c r="K1" s="3573"/>
      <c r="L1" s="3573"/>
      <c r="M1" s="3573"/>
    </row>
    <row r="2" spans="1:13" ht="27" customHeight="1">
      <c r="A2" s="3572"/>
      <c r="B2" s="3572"/>
      <c r="C2" s="3572"/>
      <c r="D2" s="3573"/>
      <c r="E2" s="3573" t="s">
        <v>24</v>
      </c>
      <c r="F2" s="3573" t="s">
        <v>25</v>
      </c>
      <c r="G2" s="3573"/>
      <c r="H2" s="3573"/>
      <c r="I2" s="3573"/>
      <c r="J2" s="3573" t="s">
        <v>26</v>
      </c>
      <c r="K2" s="3573"/>
      <c r="L2" s="3573"/>
      <c r="M2" s="3573"/>
    </row>
    <row r="3" spans="1:13" ht="28.5">
      <c r="A3" s="3572"/>
      <c r="B3" s="3572"/>
      <c r="C3" s="3572"/>
      <c r="D3" s="3573"/>
      <c r="E3" s="35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3" t="s">
        <v>42</v>
      </c>
      <c r="B9" s="3573"/>
      <c r="C9" s="35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200</v>
      </c>
      <c r="B1" s="1985"/>
      <c r="C1" s="1985"/>
      <c r="D1" s="1985"/>
      <c r="E1" s="1985"/>
      <c r="F1" s="1985"/>
      <c r="G1" s="1985"/>
      <c r="H1" s="1985"/>
      <c r="I1" s="1985"/>
      <c r="J1" s="1985"/>
      <c r="K1" s="1985"/>
      <c r="L1" s="1985"/>
    </row>
    <row r="2" spans="1:16" ht="15">
      <c r="A2" s="3583" t="s">
        <v>201</v>
      </c>
      <c r="B2" s="3583"/>
      <c r="C2" s="3583"/>
      <c r="D2" s="1976" t="s">
        <v>202</v>
      </c>
      <c r="E2" s="106" t="s">
        <v>203</v>
      </c>
      <c r="F2" s="1985"/>
      <c r="G2" s="1198"/>
      <c r="H2" s="1199"/>
      <c r="I2" s="1200" t="s">
        <v>856</v>
      </c>
      <c r="J2" s="1985"/>
      <c r="K2" s="1985"/>
      <c r="L2" s="1985"/>
    </row>
    <row r="3" spans="1:16" ht="15.75" thickBot="1">
      <c r="A3" s="3584" t="s">
        <v>204</v>
      </c>
      <c r="B3" s="3584"/>
      <c r="C3" s="3584"/>
      <c r="D3" s="107">
        <f>'数据-基础表'!AY6</f>
        <v>99890.33</v>
      </c>
      <c r="E3" s="107">
        <f>'数据-基础表'!AZ5</f>
        <v>104884.84999999999</v>
      </c>
      <c r="F3" s="1985"/>
      <c r="G3" s="280" t="s">
        <v>857</v>
      </c>
      <c r="H3" s="275" t="s">
        <v>858</v>
      </c>
      <c r="I3" s="1977">
        <f>ROUND('数据-基础表'!B3/'数据-基础表'!A3,2)</f>
        <v>1.05</v>
      </c>
      <c r="J3" s="1985"/>
      <c r="K3" s="1985"/>
      <c r="L3" s="1985"/>
    </row>
    <row r="4" spans="1:16" ht="15">
      <c r="A4" s="3585"/>
      <c r="B4" s="3586"/>
      <c r="C4" s="3587"/>
      <c r="D4" s="108" t="s">
        <v>202</v>
      </c>
      <c r="E4" s="109" t="s">
        <v>203</v>
      </c>
      <c r="F4" s="1985"/>
      <c r="G4" s="1201"/>
      <c r="H4" s="275" t="s">
        <v>859</v>
      </c>
      <c r="I4" s="1977">
        <f>ROUND(SUMIF('数据-基础表'!I9:AS9,"地上",'数据-基础表'!I5:AS5)/'数据-基础表'!A3,2)</f>
        <v>1.05</v>
      </c>
      <c r="J4" s="1985"/>
      <c r="K4" s="1985"/>
      <c r="L4" s="1985"/>
    </row>
    <row r="5" spans="1:16">
      <c r="A5" s="110" t="s">
        <v>205</v>
      </c>
      <c r="B5" s="3588" t="s">
        <v>228</v>
      </c>
      <c r="C5" s="3588"/>
      <c r="D5" s="111">
        <f>ROUND($D$3*E5/$E$3,2)</f>
        <v>98222.16</v>
      </c>
      <c r="E5" s="112">
        <f>SUMIF('数据-基础表'!$11:$11,"住宅",'数据-基础表'!$5:$5)</f>
        <v>103133.26999999999</v>
      </c>
      <c r="F5" s="1985"/>
      <c r="G5" s="280" t="s">
        <v>860</v>
      </c>
      <c r="H5" s="275" t="s">
        <v>858</v>
      </c>
      <c r="I5" s="1977">
        <f>ROUND(E31/D31,2)</f>
        <v>1.05</v>
      </c>
      <c r="J5" s="1985"/>
      <c r="K5" s="1985"/>
      <c r="L5" s="1985"/>
    </row>
    <row r="6" spans="1:16" ht="15" thickBot="1">
      <c r="A6" s="113"/>
      <c r="B6" s="3588" t="s">
        <v>206</v>
      </c>
      <c r="C6" s="3588"/>
      <c r="D6" s="111">
        <f>ROUND($D$3*E6/$E$3,2)</f>
        <v>1668.17</v>
      </c>
      <c r="E6" s="112">
        <f>E3-E5</f>
        <v>1751.5800000000017</v>
      </c>
      <c r="F6" s="1985"/>
      <c r="G6" s="1201"/>
      <c r="H6" s="275" t="s">
        <v>859</v>
      </c>
      <c r="I6" s="1977">
        <f>ROUND(F31/D31,2)</f>
        <v>1.05</v>
      </c>
      <c r="J6" s="1985"/>
      <c r="K6" s="1985"/>
      <c r="L6" s="1985"/>
    </row>
    <row r="7" spans="1:16" ht="15">
      <c r="A7" s="3580"/>
      <c r="B7" s="3581"/>
      <c r="C7" s="3582"/>
      <c r="D7" s="108" t="s">
        <v>202</v>
      </c>
      <c r="E7" s="114" t="s">
        <v>229</v>
      </c>
      <c r="F7" s="1985"/>
      <c r="G7" s="1156" t="s">
        <v>1645</v>
      </c>
      <c r="H7" s="1157"/>
      <c r="I7" s="1847"/>
      <c r="J7" s="1985"/>
      <c r="K7" s="1985"/>
      <c r="L7" s="1985"/>
    </row>
    <row r="8" spans="1:16">
      <c r="A8" s="110" t="s">
        <v>207</v>
      </c>
      <c r="B8" s="115" t="s">
        <v>208</v>
      </c>
      <c r="C8" s="111" t="s">
        <v>209</v>
      </c>
      <c r="D8" s="111">
        <f t="shared" ref="D8:D15" si="0">ROUND($D$3*E8/$E$3,2)</f>
        <v>98222.16</v>
      </c>
      <c r="E8" s="116">
        <f>SUMIF('数据-基础表'!BB10:BK10,"地上",'数据-基础表'!BB5:BK5)</f>
        <v>103133.26999999999</v>
      </c>
      <c r="F8" s="1985"/>
      <c r="G8" s="1987"/>
      <c r="H8" s="1987"/>
      <c r="I8" s="1985"/>
      <c r="J8" s="1985"/>
      <c r="K8" s="1985"/>
      <c r="L8" s="1985"/>
    </row>
    <row r="9" spans="1:16">
      <c r="A9" s="117"/>
      <c r="B9" s="118"/>
      <c r="C9" s="111" t="s">
        <v>210</v>
      </c>
      <c r="D9" s="111">
        <f t="shared" si="0"/>
        <v>0</v>
      </c>
      <c r="E9" s="119">
        <v>0</v>
      </c>
      <c r="F9" s="1985"/>
      <c r="G9" s="1987"/>
      <c r="H9" s="1987"/>
      <c r="I9" s="1985"/>
      <c r="J9" s="1985"/>
      <c r="K9" s="1985"/>
      <c r="L9" s="1985"/>
    </row>
    <row r="10" spans="1:16">
      <c r="A10" s="117"/>
      <c r="B10" s="118"/>
      <c r="C10" s="111" t="s">
        <v>211</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2326</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212</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2333</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230</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231</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213</v>
      </c>
      <c r="D16" s="115">
        <f>SUM(D8:D15)</f>
        <v>98222.16</v>
      </c>
      <c r="E16" s="120">
        <f>SUM(E8:E15)</f>
        <v>103133.26999999999</v>
      </c>
      <c r="F16" s="1985"/>
      <c r="G16" s="1987"/>
      <c r="H16" s="968" t="s">
        <v>217</v>
      </c>
      <c r="I16" s="969"/>
      <c r="J16" s="1985"/>
      <c r="K16" s="3574" t="s">
        <v>2568</v>
      </c>
      <c r="L16" s="3575"/>
      <c r="M16" s="3575"/>
      <c r="N16" s="3575"/>
      <c r="O16" s="3575"/>
      <c r="P16" s="3576"/>
    </row>
    <row r="17" spans="1:19" ht="15">
      <c r="A17" s="121" t="s">
        <v>214</v>
      </c>
      <c r="B17" s="122" t="s">
        <v>215</v>
      </c>
      <c r="C17" s="2299" t="s">
        <v>2313</v>
      </c>
      <c r="D17" s="108" t="s">
        <v>202</v>
      </c>
      <c r="E17" s="124" t="s">
        <v>203</v>
      </c>
      <c r="F17" s="125"/>
      <c r="G17" s="1366"/>
      <c r="H17" s="970" t="s">
        <v>216</v>
      </c>
      <c r="I17" s="971" t="s">
        <v>2312</v>
      </c>
      <c r="J17" s="1985"/>
      <c r="K17" s="3577" t="s">
        <v>2569</v>
      </c>
      <c r="L17" s="3578"/>
      <c r="M17" s="3579"/>
      <c r="N17" s="3577" t="s">
        <v>2570</v>
      </c>
      <c r="O17" s="3578"/>
      <c r="P17" s="3579"/>
      <c r="R17" s="2300" t="s">
        <v>2311</v>
      </c>
      <c r="S17" s="144"/>
    </row>
    <row r="18" spans="1:19" ht="15">
      <c r="A18" s="117"/>
      <c r="B18" s="128"/>
      <c r="C18" s="129"/>
      <c r="D18" s="2668"/>
      <c r="E18" s="130" t="s">
        <v>218</v>
      </c>
      <c r="F18" s="131" t="s">
        <v>219</v>
      </c>
      <c r="G18" s="1367" t="s">
        <v>220</v>
      </c>
      <c r="H18" s="972" t="s">
        <v>221</v>
      </c>
      <c r="I18" s="973" t="s">
        <v>222</v>
      </c>
      <c r="J18" s="1985"/>
      <c r="K18" s="2630" t="s">
        <v>2571</v>
      </c>
      <c r="L18" s="2631" t="s">
        <v>2572</v>
      </c>
      <c r="M18" s="2632" t="s">
        <v>2573</v>
      </c>
      <c r="N18" s="2630" t="s">
        <v>2571</v>
      </c>
      <c r="O18" s="2631" t="s">
        <v>2572</v>
      </c>
      <c r="P18" s="2632" t="s">
        <v>2573</v>
      </c>
      <c r="R18" s="2301" t="s">
        <v>2309</v>
      </c>
      <c r="S18" s="2301" t="s">
        <v>2310</v>
      </c>
    </row>
    <row r="19" spans="1:19">
      <c r="A19" s="133"/>
      <c r="B19" s="115" t="s">
        <v>223</v>
      </c>
      <c r="C19" s="3051" t="s">
        <v>3316</v>
      </c>
      <c r="D19" s="111">
        <f t="shared" ref="D19:D26" si="1">ROUND($D$3*E19/$E$3,2)</f>
        <v>18563.98</v>
      </c>
      <c r="E19" s="134">
        <f t="shared" ref="E19:E26" si="2">SUM(F19:G19)</f>
        <v>19492.18</v>
      </c>
      <c r="F19" s="135">
        <f>'数据-基础表'!I13+'数据-基础表'!K13</f>
        <v>19492.18</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18563.98</v>
      </c>
      <c r="S19" s="2302">
        <f t="shared" si="5"/>
        <v>19492.18</v>
      </c>
    </row>
    <row r="20" spans="1:19">
      <c r="A20" s="138"/>
      <c r="B20" s="115" t="s">
        <v>224</v>
      </c>
      <c r="C20" s="3051" t="s">
        <v>3317</v>
      </c>
      <c r="D20" s="111">
        <f t="shared" si="1"/>
        <v>79658.179999999993</v>
      </c>
      <c r="E20" s="134">
        <f t="shared" si="2"/>
        <v>83641.09</v>
      </c>
      <c r="F20" s="135">
        <f>'数据-基础表'!M13</f>
        <v>83641.09</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79658.179999999993</v>
      </c>
      <c r="S20" s="2302">
        <f t="shared" si="5"/>
        <v>83641.09</v>
      </c>
    </row>
    <row r="21" spans="1:19">
      <c r="A21" s="138"/>
      <c r="B21" s="115" t="s">
        <v>224</v>
      </c>
      <c r="C21" s="3051"/>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224</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224</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224</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224</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224</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43.5" thickBot="1">
      <c r="A27" s="138"/>
      <c r="B27" s="111"/>
      <c r="C27" s="127" t="s">
        <v>213</v>
      </c>
      <c r="D27" s="134">
        <f>SUM(D19:D26)</f>
        <v>98222.159999999989</v>
      </c>
      <c r="E27" s="143">
        <f>IF(SUM(E19:E26)='数据-基础表'!BA5,SUM(E19:E26),IF(F27="地上面积有误","面积有误","地下面积有误"))</f>
        <v>103133.26999999999</v>
      </c>
      <c r="F27" s="134">
        <f>IF(SUM(F19:F26)=E8,SUM(F19:F26),"地上面积有误")</f>
        <v>103133.26999999999</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t="str">
        <f>IF(SUM(R19:R26)=$D$3,SUM(R19:R26),SUM(R19:R26)&amp;"误差"&amp;ROUND(SUM(R19:R26)-$D$3,2))</f>
        <v>98222.16误差-1668.17</v>
      </c>
      <c r="S27" s="275" t="str">
        <f>IF(SUM(S19:S26)=$E$3,SUM(S19:S26),SUM(S19:S26)&amp;"误差"&amp;ROUND(SUM(S19:S26)-E3,2))</f>
        <v>103133.27误差-1751.58</v>
      </c>
    </row>
    <row r="28" spans="1:19">
      <c r="A28" s="138"/>
      <c r="B28" s="115" t="s">
        <v>225</v>
      </c>
      <c r="C28" s="136" t="s">
        <v>226</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225</v>
      </c>
      <c r="C29" s="2314" t="s">
        <v>2320</v>
      </c>
      <c r="D29" s="111">
        <f>ROUND($D$3*E29/$E$3,2)</f>
        <v>1668.17</v>
      </c>
      <c r="E29" s="134">
        <f>SUM(F29:G29)</f>
        <v>1751.58</v>
      </c>
      <c r="F29" s="144">
        <f>'数据-基础表'!BM5+'数据-基础表'!BO5</f>
        <v>1751.58</v>
      </c>
      <c r="G29" s="146">
        <f>'数据-基础表'!BN5+'数据-基础表'!BP5</f>
        <v>0</v>
      </c>
      <c r="H29" s="1985"/>
      <c r="I29" s="1985"/>
      <c r="J29" s="1985"/>
      <c r="K29" s="1985"/>
      <c r="L29" s="1985"/>
    </row>
    <row r="30" spans="1:19">
      <c r="A30" s="138"/>
      <c r="B30" s="111"/>
      <c r="C30" s="147" t="s">
        <v>213</v>
      </c>
      <c r="D30" s="134">
        <f>SUM(D28:D29)</f>
        <v>1668.17</v>
      </c>
      <c r="E30" s="134">
        <f>SUM(E28:E29)</f>
        <v>1751.58</v>
      </c>
      <c r="F30" s="134">
        <f>SUM(F28:F29)</f>
        <v>1751.58</v>
      </c>
      <c r="G30" s="112">
        <f>SUM(G28:G29)</f>
        <v>0</v>
      </c>
      <c r="H30" s="1985"/>
      <c r="I30" s="1985"/>
      <c r="J30" s="1985"/>
      <c r="K30" s="1985"/>
      <c r="L30" s="1985"/>
    </row>
    <row r="31" spans="1:19" ht="32.25" customHeight="1" thickBot="1">
      <c r="A31" s="1370"/>
      <c r="B31" s="1371" t="s">
        <v>227</v>
      </c>
      <c r="C31" s="2331" t="s">
        <v>2322</v>
      </c>
      <c r="D31" s="1372">
        <f>D27+D30</f>
        <v>99890.329999999987</v>
      </c>
      <c r="E31" s="1372">
        <f>E27+E30</f>
        <v>104884.84999999999</v>
      </c>
      <c r="F31" s="1373">
        <f>F27+F30</f>
        <v>104884.84999999999</v>
      </c>
      <c r="G31" s="1374">
        <f>G27+G30</f>
        <v>0</v>
      </c>
      <c r="H31" s="1985"/>
      <c r="I31" s="1985"/>
      <c r="J31" s="1985"/>
      <c r="K31" s="1985"/>
      <c r="L31" s="1985"/>
    </row>
    <row r="32" spans="1:19">
      <c r="A32" s="1985"/>
      <c r="B32" s="2364" t="s">
        <v>2321</v>
      </c>
      <c r="C32" s="2673"/>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4" sqref="E2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232</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233</v>
      </c>
      <c r="B2" s="2339">
        <f>项目基本情况!D3</f>
        <v>43166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2324</v>
      </c>
      <c r="B5" s="156" t="s">
        <v>234</v>
      </c>
      <c r="C5" s="157" t="s">
        <v>235</v>
      </c>
      <c r="D5" s="158" t="s">
        <v>236</v>
      </c>
      <c r="E5" s="159" t="s">
        <v>237</v>
      </c>
      <c r="F5" s="160" t="s">
        <v>238</v>
      </c>
      <c r="G5" s="159" t="s">
        <v>239</v>
      </c>
      <c r="H5" s="159" t="s">
        <v>861</v>
      </c>
      <c r="I5" s="159" t="s">
        <v>862</v>
      </c>
      <c r="J5" s="161" t="s">
        <v>240</v>
      </c>
      <c r="K5" s="162" t="s">
        <v>241</v>
      </c>
      <c r="L5" s="163" t="s">
        <v>242</v>
      </c>
      <c r="M5" s="164" t="s">
        <v>243</v>
      </c>
      <c r="N5" s="1219" t="s">
        <v>2830</v>
      </c>
      <c r="O5" s="163" t="s">
        <v>244</v>
      </c>
      <c r="P5" s="165" t="s">
        <v>245</v>
      </c>
      <c r="Q5" s="166" t="s">
        <v>246</v>
      </c>
      <c r="R5" s="167" t="s">
        <v>247</v>
      </c>
      <c r="S5" s="2646" t="s">
        <v>2574</v>
      </c>
      <c r="T5" s="168" t="s">
        <v>248</v>
      </c>
      <c r="U5" s="169" t="s">
        <v>249</v>
      </c>
      <c r="V5" s="159" t="s">
        <v>250</v>
      </c>
      <c r="W5" s="159" t="s">
        <v>251</v>
      </c>
      <c r="X5" s="1819"/>
      <c r="Y5" s="170" t="s">
        <v>252</v>
      </c>
      <c r="Z5" s="171" t="s">
        <v>253</v>
      </c>
      <c r="AA5" s="159" t="s">
        <v>250</v>
      </c>
      <c r="AB5" s="159" t="s">
        <v>251</v>
      </c>
      <c r="AC5" s="1820"/>
      <c r="AD5" s="172" t="s">
        <v>252</v>
      </c>
      <c r="AE5" s="1" t="s">
        <v>869</v>
      </c>
      <c r="AF5" s="159" t="s">
        <v>254</v>
      </c>
      <c r="AG5" s="170" t="s">
        <v>255</v>
      </c>
      <c r="AH5" s="1820" t="s">
        <v>2323</v>
      </c>
      <c r="AI5" s="171" t="s">
        <v>2292</v>
      </c>
      <c r="AJ5" s="171" t="s">
        <v>256</v>
      </c>
      <c r="AK5" s="159" t="s">
        <v>257</v>
      </c>
      <c r="AL5" s="159" t="s">
        <v>258</v>
      </c>
      <c r="AM5" s="172" t="s">
        <v>259</v>
      </c>
      <c r="AN5" s="2416" t="s">
        <v>2373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合院</v>
      </c>
      <c r="B6" s="2338" t="str">
        <f>IF(A6=0,"","经营性")</f>
        <v>经营性</v>
      </c>
      <c r="C6" s="173" t="s">
        <v>922</v>
      </c>
      <c r="D6" s="2309">
        <f>SUMIF(项目基本情况!D$15:I$15,C6,项目基本情况!D$18:I$18)</f>
        <v>70</v>
      </c>
      <c r="E6" s="2310">
        <f>IF(B6="","",SUMIF(项目基本情况!D$15:I$15,C6,项目基本情况!D$17:I$17))</f>
        <v>61289</v>
      </c>
      <c r="F6" s="174">
        <f>SUMIF(项目基本情况!D$15:I$15,C6,项目基本情况!D$19:I$19)</f>
        <v>49.65</v>
      </c>
      <c r="G6" s="175">
        <f>IF(ISERROR(ROUND(POWER(1+H6,D6-F6)*(POWER(1+H6,F6)-1)/(POWER(1+H6,D6)-1),3)),0,ROUND(POWER(1+H6,D6-F6)*(POWER(1+H6,F6)-1)/(POWER(1+H6,D6)-1),3))</f>
        <v>0.93</v>
      </c>
      <c r="H6" s="3052">
        <v>4.4999999999999998E-2</v>
      </c>
      <c r="I6" s="3052">
        <v>0.05</v>
      </c>
      <c r="J6" s="176">
        <v>8.5000000000000006E-2</v>
      </c>
      <c r="K6" s="179">
        <f>SUMIF('数据-汇总表'!C$19:C$33,'数据-取费表'!A6,'数据-汇总表'!E$19:E$33)</f>
        <v>19492.18</v>
      </c>
      <c r="L6" s="3053">
        <v>3500</v>
      </c>
      <c r="M6" s="177">
        <f t="shared" ref="M6:M14" si="0">ROUND(K6*L6/10000,0)</f>
        <v>6822</v>
      </c>
      <c r="N6" s="3054">
        <v>0</v>
      </c>
      <c r="O6" s="177">
        <f>IF($N$5="成新度","——",ROUND(M6*N6,0))</f>
        <v>0</v>
      </c>
      <c r="P6" s="178">
        <f>IF($N$5="成新度","——",M6-O6)</f>
        <v>6822</v>
      </c>
      <c r="Q6" s="3055">
        <v>0.2</v>
      </c>
      <c r="R6" s="179">
        <f>SUMIF('数据-汇总表'!C$19:C$33,A6,'数据-汇总表'!R$19:R$33)</f>
        <v>18563.98</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0.88800000000000001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叠拼</v>
      </c>
      <c r="B7" s="2338" t="str">
        <f t="shared" ref="B7:B13" si="1">IF(A7=0,"","经营性")</f>
        <v>经营性</v>
      </c>
      <c r="C7" s="173" t="s">
        <v>922</v>
      </c>
      <c r="D7" s="2309">
        <f>SUMIF(项目基本情况!D$15:I$15,C7,项目基本情况!D$18:I$18)</f>
        <v>70</v>
      </c>
      <c r="E7" s="2310">
        <f>IF(B7="","",SUMIF(项目基本情况!D$15:I$15,C7,项目基本情况!D$17:I$17))</f>
        <v>61289</v>
      </c>
      <c r="F7" s="174">
        <f>SUMIF(项目基本情况!D$15:I$15,C7,项目基本情况!D$19:I$19)</f>
        <v>49.65</v>
      </c>
      <c r="G7" s="175">
        <f t="shared" ref="G7:G11" si="2">IF(ISERROR(ROUND(POWER(1+H7,D7-F7)*(POWER(1+H7,F7)-1)/(POWER(1+H7,D7)-1),3)),0,ROUND(POWER(1+H7,D7-F7)*(POWER(1+H7,F7)-1)/(POWER(1+H7,D7)-1),3))</f>
        <v>0.93</v>
      </c>
      <c r="H7" s="3052">
        <v>4.4999999999999998E-2</v>
      </c>
      <c r="I7" s="3052">
        <v>0.05</v>
      </c>
      <c r="J7" s="176">
        <v>8.5000000000000006E-2</v>
      </c>
      <c r="K7" s="179">
        <f>SUMIF('数据-汇总表'!C$19:C$33,'数据-取费表'!A7,'数据-汇总表'!E$19:E$33)</f>
        <v>83641.09</v>
      </c>
      <c r="L7" s="3053">
        <v>3500</v>
      </c>
      <c r="M7" s="177">
        <f t="shared" si="0"/>
        <v>29274</v>
      </c>
      <c r="N7" s="3054">
        <v>0</v>
      </c>
      <c r="O7" s="177">
        <f t="shared" ref="O7:O14" si="3">IF($N$5="成新度","——",ROUND(M7*N7,0))</f>
        <v>0</v>
      </c>
      <c r="P7" s="178">
        <f t="shared" ref="P7:P14" si="4">IF($N$5="成新度","——",M7-O7)</f>
        <v>29274</v>
      </c>
      <c r="Q7" s="3055">
        <v>0.2</v>
      </c>
      <c r="R7" s="179">
        <f>SUMIF('数据-汇总表'!C$19:C$33,A7,'数据-汇总表'!R$19:R$33)</f>
        <v>79658.179999999993</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0.88800000000000001</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2314</v>
      </c>
      <c r="B14" s="2307" t="s">
        <v>1679</v>
      </c>
      <c r="C14" s="2308" t="s">
        <v>2314</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2316</v>
      </c>
      <c r="B15" s="2307" t="s">
        <v>1679</v>
      </c>
      <c r="C15" s="2308" t="s">
        <v>2315</v>
      </c>
      <c r="D15" s="2309"/>
      <c r="E15" s="2310"/>
      <c r="F15" s="174"/>
      <c r="G15" s="175"/>
      <c r="H15" s="2311"/>
      <c r="I15" s="2311"/>
      <c r="J15" s="2311"/>
      <c r="K15" s="179">
        <f>SUMIF('数据-汇总表'!C$19:C$33,'数据-取费表'!A15,'数据-汇总表'!E$19:E$33)</f>
        <v>1751.58</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260</v>
      </c>
      <c r="B16" s="199"/>
      <c r="C16" s="200"/>
      <c r="D16" s="201"/>
      <c r="E16" s="199"/>
      <c r="F16" s="199"/>
      <c r="G16" s="202">
        <f>ROUND(SUMPRODUCT(G6:G13,K6:K13)/SUMPRODUCT((G6:G13&gt;0)*(K6:K13)),3)</f>
        <v>0.93</v>
      </c>
      <c r="H16" s="203">
        <f>ROUND(SUMPRODUCT(H6:H13,K6:K13)/SUMPRODUCT((H6:H13&gt;0)*(K6:K13)),3)</f>
        <v>4.4999999999999998E-2</v>
      </c>
      <c r="I16" s="204"/>
      <c r="J16" s="204"/>
      <c r="K16" s="205">
        <f>SUM(K6:K15)</f>
        <v>104884.84999999999</v>
      </c>
      <c r="L16" s="206">
        <f>ROUND(M16*10000/SUM(K6:K14),0)</f>
        <v>3500</v>
      </c>
      <c r="M16" s="206">
        <f>SUM(M6:M14)</f>
        <v>36096</v>
      </c>
      <c r="N16" s="207">
        <f>ROUND(SUMPRODUCT(M6:M14,N6:N14)/M16,3)</f>
        <v>0</v>
      </c>
      <c r="O16" s="206">
        <f>SUM(O6:O14)</f>
        <v>0</v>
      </c>
      <c r="P16" s="206">
        <f>SUM(P6:P14)</f>
        <v>36096</v>
      </c>
      <c r="Q16" s="208">
        <f>ROUND(SUMPRODUCT(Q6:Q13,K6:K13)/SUMPRODUCT((Q6:Q13&gt;0)*(K6:K13)),2)</f>
        <v>0.2</v>
      </c>
      <c r="R16" s="2312">
        <f>SUM(R6:R13)</f>
        <v>98222.159999999989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0.88800000000000001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261</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262</v>
      </c>
      <c r="B19" s="218">
        <v>0</v>
      </c>
      <c r="C19" s="2365" t="s">
        <v>2335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263</v>
      </c>
      <c r="B20" s="220">
        <v>2</v>
      </c>
      <c r="C20" s="2365" t="s">
        <v>2334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264</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265</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266</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267</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268</v>
      </c>
      <c r="B26" s="225" t="s">
        <v>269</v>
      </c>
      <c r="C26" s="1996" t="s">
        <v>270</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2337</v>
      </c>
      <c r="B27" s="227">
        <v>150</v>
      </c>
      <c r="C27" s="2368" t="s">
        <v>2341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2338</v>
      </c>
      <c r="B28" s="229">
        <v>190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2336</v>
      </c>
      <c r="B29" s="232"/>
      <c r="C29" s="1553" t="s">
        <v>2339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271</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272</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273</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276</v>
      </c>
      <c r="B33" s="1379">
        <v>0.03</v>
      </c>
      <c r="C33" s="2366" t="s">
        <v>2893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277</v>
      </c>
      <c r="B34" s="233">
        <v>0.05</v>
      </c>
      <c r="C34" s="2366" t="s">
        <v>2894</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274</v>
      </c>
      <c r="B35" s="229">
        <v>200</v>
      </c>
      <c r="C35" s="2366" t="s">
        <v>2895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275</v>
      </c>
      <c r="B36" s="234">
        <v>1.4999999999999999E-2</v>
      </c>
      <c r="C36" s="2366" t="s">
        <v>2896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278</v>
      </c>
      <c r="B37" s="236">
        <v>0.02</v>
      </c>
      <c r="C37" s="2366" t="s">
        <v>2897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279</v>
      </c>
      <c r="B38" s="233">
        <v>0.02</v>
      </c>
      <c r="C38" s="2366" t="s">
        <v>2897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2457</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2458</v>
      </c>
      <c r="B40" s="2506">
        <f ca="1">存贷款利率!E2</f>
        <v>4.7500000000000001E-2</v>
      </c>
      <c r="C40" s="2366" t="s">
        <v>2340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280</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281</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282</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283</v>
      </c>
      <c r="B44" s="242">
        <v>7.0000000000000007E-2</v>
      </c>
      <c r="C44" s="2366" t="s">
        <v>2898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284</v>
      </c>
      <c r="B45" s="240">
        <v>0.03</v>
      </c>
      <c r="C45" s="2368" t="s">
        <v>2899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285</v>
      </c>
      <c r="B46" s="240">
        <v>0.02</v>
      </c>
      <c r="C46" s="2368" t="s">
        <v>2900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286</v>
      </c>
      <c r="B47" s="244"/>
      <c r="C47" s="3101" t="s">
        <v>2901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287</v>
      </c>
      <c r="B48" s="246">
        <v>0.03</v>
      </c>
      <c r="C48" s="3102" t="s">
        <v>2902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288</v>
      </c>
      <c r="B49" s="240">
        <v>5.0000000000000001E-4</v>
      </c>
      <c r="C49" s="3102" t="s">
        <v>2903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289</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290</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291</v>
      </c>
      <c r="B52" s="250">
        <f>SUMIF(A54:A63,B53,B54:B63)</f>
        <v>18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292</v>
      </c>
      <c r="B53" s="251" t="s">
        <v>1326</v>
      </c>
      <c r="C53" s="3103" t="s">
        <v>2904</v>
      </c>
      <c r="D53" s="3104" t="s">
        <v>2905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2906</v>
      </c>
      <c r="B54" s="186"/>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2907</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2908</v>
      </c>
      <c r="B56" s="186">
        <f>C56</f>
        <v>18</v>
      </c>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2909</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2910</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2911</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2912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89" t="s">
        <v>1663</v>
      </c>
      <c r="B1" s="3590"/>
      <c r="C1" s="3590"/>
      <c r="D1" s="3590"/>
      <c r="E1" s="3590"/>
      <c r="F1" s="3590"/>
      <c r="G1" s="3590"/>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54">
      <c r="A3" s="1227" t="s">
        <v>1666</v>
      </c>
      <c r="B3" s="1228" t="s">
        <v>1653</v>
      </c>
      <c r="C3" s="3108" t="s">
        <v>2922</v>
      </c>
      <c r="D3" s="2010"/>
      <c r="E3" s="1229" t="s">
        <v>1666</v>
      </c>
      <c r="F3" s="1230" t="s">
        <v>1654</v>
      </c>
      <c r="G3" s="3112" t="s">
        <v>2921</v>
      </c>
      <c r="H3" s="2009"/>
      <c r="I3" s="2009"/>
      <c r="J3" s="2009"/>
      <c r="K3" s="2009"/>
      <c r="L3" s="2009"/>
      <c r="M3" s="2009"/>
      <c r="N3" s="2009"/>
      <c r="O3" s="2009"/>
      <c r="P3" s="2009"/>
      <c r="Q3" s="2009"/>
      <c r="R3" s="2009"/>
    </row>
    <row r="4" spans="1:18" ht="41.25">
      <c r="A4" s="1229"/>
      <c r="B4" s="1231" t="s">
        <v>1667</v>
      </c>
      <c r="C4" s="3109" t="s">
        <v>2923</v>
      </c>
      <c r="D4" s="2010"/>
      <c r="E4" s="1232"/>
      <c r="F4" s="1233" t="s">
        <v>1668</v>
      </c>
      <c r="G4" s="3110" t="s">
        <v>2918</v>
      </c>
      <c r="H4" s="2009"/>
      <c r="I4" s="2009"/>
      <c r="J4" s="2009"/>
      <c r="K4" s="2009"/>
      <c r="L4" s="2009"/>
      <c r="M4" s="2009"/>
      <c r="N4" s="2009"/>
      <c r="O4" s="2009"/>
      <c r="P4" s="2009"/>
      <c r="Q4" s="2009"/>
      <c r="R4" s="2009"/>
    </row>
    <row r="5" spans="1:18" ht="41.25">
      <c r="A5" s="1229"/>
      <c r="B5" s="1231" t="s">
        <v>1669</v>
      </c>
      <c r="C5" s="3109" t="s">
        <v>2924</v>
      </c>
      <c r="D5" s="2010"/>
      <c r="E5" s="1232"/>
      <c r="F5" s="1231" t="s">
        <v>2548</v>
      </c>
      <c r="G5" s="3110" t="s">
        <v>2919</v>
      </c>
      <c r="H5" s="2009"/>
      <c r="I5" s="2009"/>
      <c r="J5" s="2009"/>
      <c r="K5" s="2009"/>
      <c r="L5" s="2009"/>
      <c r="M5" s="2009"/>
      <c r="N5" s="2009"/>
      <c r="O5" s="2009"/>
      <c r="P5" s="2009"/>
      <c r="Q5" s="2009"/>
      <c r="R5" s="2009"/>
    </row>
    <row r="6" spans="1:18" ht="54">
      <c r="A6" s="1229"/>
      <c r="B6" s="1231" t="s">
        <v>1655</v>
      </c>
      <c r="C6" s="3110" t="s">
        <v>2918</v>
      </c>
      <c r="D6" s="2010"/>
      <c r="E6" s="1232"/>
      <c r="F6" s="1231" t="s">
        <v>2549</v>
      </c>
      <c r="G6" s="3110" t="s">
        <v>2916</v>
      </c>
      <c r="H6" s="2009"/>
      <c r="I6" s="2009"/>
      <c r="J6" s="2009"/>
      <c r="K6" s="2009"/>
      <c r="L6" s="2009"/>
      <c r="M6" s="2009"/>
      <c r="N6" s="2009"/>
      <c r="O6" s="2009"/>
      <c r="P6" s="2009"/>
      <c r="Q6" s="2009"/>
      <c r="R6" s="2009"/>
    </row>
    <row r="7" spans="1:18" ht="41.25" thickBot="1">
      <c r="A7" s="1229"/>
      <c r="B7" s="1231" t="s">
        <v>2548</v>
      </c>
      <c r="C7" s="3110" t="s">
        <v>2919</v>
      </c>
      <c r="D7" s="2011"/>
      <c r="E7" s="1234"/>
      <c r="F7" s="1235" t="s">
        <v>1670</v>
      </c>
      <c r="G7" s="3113" t="s">
        <v>2920</v>
      </c>
      <c r="H7" s="2009"/>
      <c r="I7" s="2009"/>
      <c r="J7" s="2009"/>
      <c r="K7" s="2009"/>
      <c r="L7" s="2009"/>
      <c r="M7" s="2009"/>
      <c r="N7" s="2009"/>
      <c r="O7" s="2009"/>
      <c r="P7" s="2009"/>
      <c r="Q7" s="2009"/>
      <c r="R7" s="2009"/>
    </row>
    <row r="8" spans="1:18" ht="27">
      <c r="A8" s="1229"/>
      <c r="B8" s="1231" t="s">
        <v>2549</v>
      </c>
      <c r="C8" s="3110" t="s">
        <v>2916</v>
      </c>
      <c r="D8" s="2011"/>
      <c r="E8" s="2011"/>
      <c r="F8" s="1554"/>
      <c r="G8" s="1554"/>
      <c r="H8" s="2009"/>
      <c r="I8" s="2009"/>
      <c r="J8" s="2009"/>
      <c r="K8" s="2009"/>
      <c r="L8" s="2009"/>
      <c r="M8" s="2009"/>
      <c r="N8" s="2009"/>
      <c r="O8" s="2009"/>
      <c r="P8" s="2009"/>
      <c r="Q8" s="2009"/>
      <c r="R8" s="2009"/>
    </row>
    <row r="9" spans="1:18" ht="40.5">
      <c r="A9" s="1229"/>
      <c r="B9" s="1231" t="s">
        <v>1656</v>
      </c>
      <c r="C9" s="3109" t="s">
        <v>2917</v>
      </c>
      <c r="D9" s="2010"/>
      <c r="E9" s="2011"/>
      <c r="F9" s="1554"/>
      <c r="G9" s="1554"/>
      <c r="H9" s="2009"/>
      <c r="I9" s="2009"/>
      <c r="J9" s="2009"/>
      <c r="K9" s="2009"/>
      <c r="L9" s="2009"/>
      <c r="M9" s="2009"/>
      <c r="N9" s="2009"/>
      <c r="O9" s="2009"/>
      <c r="P9" s="2009"/>
      <c r="Q9" s="2009"/>
      <c r="R9" s="2009"/>
    </row>
    <row r="10" spans="1:18" s="2017" customFormat="1" ht="15" thickBot="1">
      <c r="A10" s="1236"/>
      <c r="B10" s="1237" t="s">
        <v>1671</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1672</v>
      </c>
      <c r="B13" s="2603"/>
      <c r="C13" s="2603"/>
      <c r="D13" s="1224"/>
      <c r="E13" s="2603"/>
      <c r="F13" s="2603"/>
      <c r="G13" s="2603"/>
    </row>
    <row r="14" spans="1:18" ht="14.25" thickBot="1">
      <c r="A14" s="1238"/>
      <c r="B14" s="1239"/>
      <c r="C14" s="1240" t="s">
        <v>1664</v>
      </c>
      <c r="D14" s="2010"/>
      <c r="E14" s="1241"/>
      <c r="F14" s="1241"/>
      <c r="G14" s="1223" t="s">
        <v>1665</v>
      </c>
    </row>
    <row r="15" spans="1:18" ht="54">
      <c r="A15" s="2613" t="s">
        <v>1657</v>
      </c>
      <c r="B15" s="1242" t="s">
        <v>1653</v>
      </c>
      <c r="C15" s="1243" t="str">
        <f>C3</f>
        <v>估价对象周边居住用地比例、居住小区规模和社区发展完善程度，综合评价居住社区成熟度一般</v>
      </c>
      <c r="D15" s="2010"/>
      <c r="E15" s="2610" t="s">
        <v>1658</v>
      </c>
      <c r="F15" s="1242" t="s">
        <v>1673</v>
      </c>
      <c r="G15" s="1244" t="str">
        <f>G3</f>
        <v>估价对象位于XX开发区，园区建设成熟度XX，产业集聚程度XX</v>
      </c>
    </row>
    <row r="16" spans="1:18" ht="40.5">
      <c r="A16" s="2614"/>
      <c r="B16" s="1245" t="s">
        <v>1667</v>
      </c>
      <c r="C16" s="1246" t="str">
        <f>C4</f>
        <v>估价对象位于XX商圈，周边商业氛围成熟，人流量大，商业繁华度好</v>
      </c>
      <c r="D16" s="2010"/>
      <c r="E16" s="2611"/>
      <c r="F16" s="1247" t="s">
        <v>1668</v>
      </c>
      <c r="G16" s="1005" t="str">
        <f>G4</f>
        <v>估价对象周边道路状况、公共交通通达情况、停车便捷程度，综合评价交通便捷度较好</v>
      </c>
    </row>
    <row r="17" spans="1:7" ht="40.5">
      <c r="A17" s="2614"/>
      <c r="B17" s="1245" t="s">
        <v>1669</v>
      </c>
      <c r="C17" s="1246" t="str">
        <f>C5</f>
        <v>估价对象位于XX商圈，周边办公楼项目较多，入驻率高，办公集聚程度较好</v>
      </c>
      <c r="D17" s="2011"/>
      <c r="E17" s="2611"/>
      <c r="F17" s="1247" t="s">
        <v>1674</v>
      </c>
      <c r="G17" s="2820"/>
    </row>
    <row r="18" spans="1:7" ht="54">
      <c r="A18" s="2614"/>
      <c r="B18" s="1247" t="s">
        <v>1655</v>
      </c>
      <c r="C18" s="1005" t="str">
        <f>C6</f>
        <v>估价对象周边道路状况、公共交通通达情况、停车便捷程度，综合评价交通便捷度较好</v>
      </c>
      <c r="D18" s="2011"/>
      <c r="E18" s="2611"/>
      <c r="F18" s="1247" t="s">
        <v>1670</v>
      </c>
      <c r="G18" s="1005" t="str">
        <f>G7</f>
        <v>该园区内是否有污染型企业，绿化情况，卫生条件，整体环境状况判断</v>
      </c>
    </row>
    <row r="19" spans="1:7" ht="27">
      <c r="A19" s="2614"/>
      <c r="B19" s="1247" t="s">
        <v>1659</v>
      </c>
      <c r="C19" s="2820"/>
      <c r="D19" s="2010"/>
      <c r="E19" s="2611"/>
      <c r="F19" s="1231" t="s">
        <v>2548</v>
      </c>
      <c r="G19" s="1005" t="str">
        <f>G5</f>
        <v>估价对象所在区域公共配套设施齐备情况</v>
      </c>
    </row>
    <row r="20" spans="1:7" ht="40.5">
      <c r="A20" s="2614"/>
      <c r="B20" s="1247" t="s">
        <v>1660</v>
      </c>
      <c r="C20" s="1246" t="str">
        <f>C9</f>
        <v>区域自然环境：；人文环境；综合评价环境状况一般</v>
      </c>
      <c r="D20" s="2011"/>
      <c r="E20" s="2611"/>
      <c r="F20" s="1231" t="s">
        <v>2549</v>
      </c>
      <c r="G20" s="1005" t="str">
        <f>G6</f>
        <v>估价对象所在区域基础设施水平</v>
      </c>
    </row>
    <row r="21" spans="1:7" ht="27">
      <c r="A21" s="2614"/>
      <c r="B21" s="1231" t="s">
        <v>2548</v>
      </c>
      <c r="C21" s="1005" t="str">
        <f>C7</f>
        <v>估价对象所在区域公共配套设施齐备情况</v>
      </c>
      <c r="D21" s="2010"/>
      <c r="E21" s="2611"/>
      <c r="F21" s="1247" t="s">
        <v>1661</v>
      </c>
      <c r="G21" s="3114"/>
    </row>
    <row r="22" spans="1:7" ht="27">
      <c r="A22" s="2614"/>
      <c r="B22" s="1231" t="s">
        <v>2549</v>
      </c>
      <c r="C22" s="1005" t="str">
        <f>C8</f>
        <v>估价对象所在区域基础设施水平</v>
      </c>
      <c r="D22" s="2010"/>
      <c r="E22" s="2611"/>
      <c r="F22" s="1247" t="s">
        <v>1671</v>
      </c>
      <c r="G22" s="2820"/>
    </row>
    <row r="23" spans="1:7" ht="15" thickBot="1">
      <c r="A23" s="2614"/>
      <c r="B23" s="1247" t="s">
        <v>1661</v>
      </c>
      <c r="C23" s="3114"/>
      <c r="E23" s="2612"/>
      <c r="F23" s="1248" t="s">
        <v>1675</v>
      </c>
      <c r="G23" s="3115"/>
    </row>
    <row r="24" spans="1:7" ht="14.25" thickBot="1">
      <c r="A24" s="2615"/>
      <c r="B24" s="1248" t="s">
        <v>1662</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2" t="s">
        <v>2846</v>
      </c>
      <c r="B1" s="3072">
        <f>SUM(B14:B23)</f>
        <v>104884.84999999999</v>
      </c>
      <c r="C1" s="3073"/>
      <c r="D1" s="3073"/>
      <c r="E1" s="3073"/>
      <c r="F1" s="3073"/>
    </row>
    <row r="2" spans="1:9" ht="16.5">
      <c r="A2" s="3072" t="s">
        <v>2847</v>
      </c>
      <c r="B2" s="3072">
        <f>SUM(C14:C23)</f>
        <v>99890.33</v>
      </c>
      <c r="C2" s="3073"/>
      <c r="D2" s="3073"/>
      <c r="E2" s="3073"/>
      <c r="F2" s="3073"/>
    </row>
    <row r="3" spans="1:9" ht="16.5">
      <c r="A3" s="3072" t="s">
        <v>2848</v>
      </c>
      <c r="B3" s="3074">
        <f>项目基本情况!D3</f>
        <v>43166</v>
      </c>
      <c r="C3" s="3073"/>
      <c r="D3" s="3073"/>
      <c r="E3" s="3073"/>
      <c r="F3" s="3073"/>
    </row>
    <row r="4" spans="1:9" ht="33">
      <c r="A4" s="3072" t="s">
        <v>2849</v>
      </c>
      <c r="B4" s="3072" t="s">
        <v>2850</v>
      </c>
      <c r="C4" s="3072" t="s">
        <v>2851</v>
      </c>
      <c r="D4" s="3072" t="s">
        <v>2852</v>
      </c>
      <c r="E4" s="3073"/>
      <c r="F4" s="3073"/>
    </row>
    <row r="5" spans="1:9" ht="16.5">
      <c r="A5" s="3072" t="s">
        <v>2853</v>
      </c>
      <c r="B5" s="3072">
        <f ca="1">SUM(D14:D23)</f>
        <v>491267</v>
      </c>
      <c r="C5" s="3072">
        <f ca="1">ROUND(B5*10000/$B$1,0)</f>
        <v>46839</v>
      </c>
      <c r="D5" s="3072">
        <f ca="1">ROUND(B5*10000/$B$2,0)</f>
        <v>49181</v>
      </c>
      <c r="E5" s="3073"/>
      <c r="F5" s="3073"/>
    </row>
    <row r="6" spans="1:9" ht="16.5">
      <c r="A6" s="3072" t="s">
        <v>2854</v>
      </c>
      <c r="B6" s="3072">
        <f>SUM(G14:G23)</f>
        <v>0</v>
      </c>
      <c r="C6" s="3072">
        <f t="shared" ref="C6:C8" si="0">ROUND(B6*10000/$B$1,0)</f>
        <v>0</v>
      </c>
      <c r="D6" s="3072">
        <f t="shared" ref="D6:D8" si="1">ROUND(B6*10000/$B$2,0)</f>
        <v>0</v>
      </c>
      <c r="E6" s="3073"/>
      <c r="F6" s="3073"/>
    </row>
    <row r="7" spans="1:9" ht="16.5">
      <c r="A7" s="3072" t="s">
        <v>2855</v>
      </c>
      <c r="B7" s="3072">
        <f>SUM(H14:H23)</f>
        <v>0</v>
      </c>
      <c r="C7" s="3072">
        <f t="shared" si="0"/>
        <v>0</v>
      </c>
      <c r="D7" s="3072">
        <f t="shared" si="1"/>
        <v>0</v>
      </c>
      <c r="E7" s="3073"/>
      <c r="F7" s="3073"/>
    </row>
    <row r="8" spans="1:9" ht="16.5">
      <c r="A8" s="3072" t="s">
        <v>2856</v>
      </c>
      <c r="B8" s="3072">
        <f>SUM(I14:I23)</f>
        <v>0</v>
      </c>
      <c r="C8" s="3072">
        <f t="shared" si="0"/>
        <v>0</v>
      </c>
      <c r="D8" s="3072">
        <f t="shared" si="1"/>
        <v>0</v>
      </c>
      <c r="E8" s="3073"/>
      <c r="F8" s="3073"/>
    </row>
    <row r="9" spans="1:9" ht="16.5">
      <c r="A9" s="3072" t="s">
        <v>2857</v>
      </c>
      <c r="B9" s="3075"/>
      <c r="C9" s="3073"/>
      <c r="D9" s="3073"/>
      <c r="E9" s="3073"/>
      <c r="F9" s="3073"/>
    </row>
    <row r="10" spans="1:9" ht="16.5">
      <c r="A10" s="3072" t="s">
        <v>2858</v>
      </c>
      <c r="B10" s="3075"/>
      <c r="C10" s="3073"/>
      <c r="D10" s="3073"/>
      <c r="E10" s="3073"/>
      <c r="F10" s="3073"/>
    </row>
    <row r="11" spans="1:9" ht="16.5">
      <c r="A11" s="3072" t="s">
        <v>2875</v>
      </c>
      <c r="B11" s="3075"/>
      <c r="C11" s="3073"/>
      <c r="D11" s="3073"/>
      <c r="E11" s="3073"/>
      <c r="F11" s="3073"/>
    </row>
    <row r="12" spans="1:9" ht="16.5">
      <c r="A12" s="3073"/>
      <c r="B12" s="3073"/>
      <c r="C12" s="3073"/>
      <c r="D12" s="3073"/>
      <c r="E12" s="3073"/>
      <c r="F12" s="3073"/>
    </row>
    <row r="13" spans="1:9" ht="33">
      <c r="A13" s="3078" t="s">
        <v>2874</v>
      </c>
      <c r="B13" s="3076" t="s">
        <v>2846</v>
      </c>
      <c r="C13" s="3076" t="s">
        <v>2847</v>
      </c>
      <c r="D13" s="3076" t="s">
        <v>2859</v>
      </c>
      <c r="E13" s="3072" t="s">
        <v>2873</v>
      </c>
      <c r="F13" s="3072" t="s">
        <v>2852</v>
      </c>
      <c r="G13" s="3076" t="s">
        <v>2860</v>
      </c>
      <c r="H13" s="3076" t="s">
        <v>2861</v>
      </c>
      <c r="I13" s="3076" t="s">
        <v>2862</v>
      </c>
    </row>
    <row r="14" spans="1:9" ht="16.5">
      <c r="A14" s="3079" t="s">
        <v>2872</v>
      </c>
      <c r="B14" s="3076">
        <f>结果表!L38</f>
        <v>104884.84999999999</v>
      </c>
      <c r="C14" s="3076">
        <f>结果表!K38</f>
        <v>99890.33</v>
      </c>
      <c r="D14" s="3076">
        <f ca="1">结果表!C42</f>
        <v>491267</v>
      </c>
      <c r="E14" s="3076">
        <f ca="1">ROUND(D14*10000/B14,0)</f>
        <v>46839</v>
      </c>
      <c r="F14" s="3076">
        <f ca="1">ROUND(D14*10000/C14,0)</f>
        <v>49181</v>
      </c>
      <c r="G14" s="3076" t="str">
        <f>结果表!C44</f>
        <v>——</v>
      </c>
      <c r="H14" s="3076" t="str">
        <f>结果表!C45</f>
        <v>——</v>
      </c>
      <c r="I14" s="3076" t="str">
        <f>结果表!C46</f>
        <v>——</v>
      </c>
    </row>
    <row r="15" spans="1:9" ht="16.5">
      <c r="A15" s="3079" t="s">
        <v>2863</v>
      </c>
      <c r="B15" s="3080"/>
      <c r="C15" s="3080"/>
      <c r="D15" s="3080"/>
      <c r="E15" s="3076" t="e">
        <f t="shared" ref="E15:E23" si="2">ROUND(D15*10000/B15,0)</f>
        <v>#DIV/0!</v>
      </c>
      <c r="F15" s="3076" t="e">
        <f t="shared" ref="F15:F23" si="3">ROUND(D15*10000/C15,0)</f>
        <v>#DIV/0!</v>
      </c>
      <c r="G15" s="3077"/>
      <c r="H15" s="3077"/>
      <c r="I15" s="3080"/>
    </row>
    <row r="16" spans="1:9" ht="16.5">
      <c r="A16" s="3079" t="s">
        <v>2864</v>
      </c>
      <c r="B16" s="3080"/>
      <c r="C16" s="3080"/>
      <c r="D16" s="3080"/>
      <c r="E16" s="3076" t="e">
        <f t="shared" si="2"/>
        <v>#DIV/0!</v>
      </c>
      <c r="F16" s="3076" t="e">
        <f t="shared" si="3"/>
        <v>#DIV/0!</v>
      </c>
      <c r="G16" s="3077"/>
      <c r="H16" s="3077"/>
      <c r="I16" s="3080"/>
    </row>
    <row r="17" spans="1:9" ht="16.5">
      <c r="A17" s="3079" t="s">
        <v>2865</v>
      </c>
      <c r="B17" s="3080"/>
      <c r="C17" s="3080"/>
      <c r="D17" s="3080"/>
      <c r="E17" s="3076" t="e">
        <f t="shared" si="2"/>
        <v>#DIV/0!</v>
      </c>
      <c r="F17" s="3076" t="e">
        <f t="shared" si="3"/>
        <v>#DIV/0!</v>
      </c>
      <c r="G17" s="3077"/>
      <c r="H17" s="3077"/>
      <c r="I17" s="3080"/>
    </row>
    <row r="18" spans="1:9" ht="16.5">
      <c r="A18" s="3079" t="s">
        <v>2866</v>
      </c>
      <c r="B18" s="3080"/>
      <c r="C18" s="3080"/>
      <c r="D18" s="3080"/>
      <c r="E18" s="3076" t="e">
        <f t="shared" si="2"/>
        <v>#DIV/0!</v>
      </c>
      <c r="F18" s="3076" t="e">
        <f t="shared" si="3"/>
        <v>#DIV/0!</v>
      </c>
      <c r="G18" s="3080"/>
      <c r="H18" s="3080"/>
      <c r="I18" s="3080"/>
    </row>
    <row r="19" spans="1:9" ht="16.5">
      <c r="A19" s="3079" t="s">
        <v>2867</v>
      </c>
      <c r="B19" s="3080"/>
      <c r="C19" s="3080"/>
      <c r="D19" s="3080"/>
      <c r="E19" s="3076" t="e">
        <f t="shared" si="2"/>
        <v>#DIV/0!</v>
      </c>
      <c r="F19" s="3076" t="e">
        <f t="shared" si="3"/>
        <v>#DIV/0!</v>
      </c>
      <c r="G19" s="3080"/>
      <c r="H19" s="3080"/>
      <c r="I19" s="3080"/>
    </row>
    <row r="20" spans="1:9" ht="16.5">
      <c r="A20" s="3079" t="s">
        <v>2868</v>
      </c>
      <c r="B20" s="3080"/>
      <c r="C20" s="3080"/>
      <c r="D20" s="3080"/>
      <c r="E20" s="3076" t="e">
        <f t="shared" si="2"/>
        <v>#DIV/0!</v>
      </c>
      <c r="F20" s="3076" t="e">
        <f t="shared" si="3"/>
        <v>#DIV/0!</v>
      </c>
      <c r="G20" s="3080"/>
      <c r="H20" s="3080"/>
      <c r="I20" s="3080"/>
    </row>
    <row r="21" spans="1:9" ht="16.5">
      <c r="A21" s="3079" t="s">
        <v>2869</v>
      </c>
      <c r="B21" s="3080"/>
      <c r="C21" s="3080"/>
      <c r="D21" s="3080"/>
      <c r="E21" s="3076" t="e">
        <f t="shared" si="2"/>
        <v>#DIV/0!</v>
      </c>
      <c r="F21" s="3076" t="e">
        <f t="shared" si="3"/>
        <v>#DIV/0!</v>
      </c>
      <c r="G21" s="3080"/>
      <c r="H21" s="3080"/>
      <c r="I21" s="3080"/>
    </row>
    <row r="22" spans="1:9" ht="16.5">
      <c r="A22" s="3079" t="s">
        <v>2870</v>
      </c>
      <c r="B22" s="3080"/>
      <c r="C22" s="3080"/>
      <c r="D22" s="3080"/>
      <c r="E22" s="3076" t="e">
        <f t="shared" si="2"/>
        <v>#DIV/0!</v>
      </c>
      <c r="F22" s="3076" t="e">
        <f t="shared" si="3"/>
        <v>#DIV/0!</v>
      </c>
      <c r="G22" s="3080"/>
      <c r="H22" s="3080"/>
      <c r="I22" s="3080"/>
    </row>
    <row r="23" spans="1:9" ht="16.5">
      <c r="A23" s="3079" t="s">
        <v>2871</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C7" sqref="C7"/>
    </sheetView>
  </sheetViews>
  <sheetFormatPr defaultRowHeight="13.5"/>
  <cols>
    <col min="1" max="1" width="19.875" customWidth="1"/>
  </cols>
  <sheetData>
    <row r="1" spans="1:13">
      <c r="A1" s="3479" t="s">
        <v>3195</v>
      </c>
      <c r="B1" s="3479" t="s">
        <v>3196</v>
      </c>
      <c r="C1" s="3479" t="s">
        <v>3197</v>
      </c>
      <c r="D1" s="3479" t="s">
        <v>3198</v>
      </c>
      <c r="E1" s="3479" t="s">
        <v>3199</v>
      </c>
      <c r="F1" s="3479" t="s">
        <v>2032</v>
      </c>
      <c r="G1" s="3479" t="s">
        <v>3200</v>
      </c>
      <c r="H1" s="3479" t="s">
        <v>3201</v>
      </c>
      <c r="I1" s="3479" t="s">
        <v>3202</v>
      </c>
      <c r="J1" s="3479" t="s">
        <v>3203</v>
      </c>
      <c r="K1" s="3479" t="s">
        <v>3204</v>
      </c>
      <c r="L1" s="3479" t="s">
        <v>3205</v>
      </c>
      <c r="M1" s="3479" t="s">
        <v>3206</v>
      </c>
    </row>
    <row r="2" spans="1:13">
      <c r="A2" s="3479" t="s">
        <v>3207</v>
      </c>
      <c r="B2" s="3479" t="s">
        <v>1947</v>
      </c>
      <c r="C2" s="3479" t="s">
        <v>3208</v>
      </c>
      <c r="D2" s="3479">
        <v>55477.35</v>
      </c>
      <c r="E2" s="3479">
        <v>87924</v>
      </c>
      <c r="F2" s="3479">
        <v>1.58</v>
      </c>
      <c r="G2" s="3479" t="s">
        <v>3209</v>
      </c>
      <c r="H2" s="3479" t="s">
        <v>3210</v>
      </c>
      <c r="I2" s="3479">
        <v>150000</v>
      </c>
      <c r="J2" s="3479">
        <v>168000</v>
      </c>
      <c r="K2" s="3479">
        <v>19107.400000000001</v>
      </c>
      <c r="L2" s="3479">
        <v>12</v>
      </c>
      <c r="M2" s="3479" t="s">
        <v>3211</v>
      </c>
    </row>
    <row r="3" spans="1:13" s="3481" customFormat="1">
      <c r="A3" s="3480" t="s">
        <v>3212</v>
      </c>
      <c r="B3" s="3480" t="s">
        <v>1947</v>
      </c>
      <c r="C3" s="3480" t="s">
        <v>3213</v>
      </c>
      <c r="D3" s="3480">
        <v>53525.81</v>
      </c>
      <c r="E3" s="3480">
        <v>58878</v>
      </c>
      <c r="F3" s="3480">
        <v>1.1000000000000001</v>
      </c>
      <c r="G3" s="3480" t="s">
        <v>3209</v>
      </c>
      <c r="H3" s="3480" t="s">
        <v>3214</v>
      </c>
      <c r="I3" s="3480">
        <v>333100</v>
      </c>
      <c r="J3" s="3480">
        <v>336500</v>
      </c>
      <c r="K3" s="3480">
        <v>57152.08</v>
      </c>
      <c r="L3" s="3480">
        <v>1.02</v>
      </c>
      <c r="M3" s="3480" t="s">
        <v>3215</v>
      </c>
    </row>
    <row r="4" spans="1:13">
      <c r="A4" s="3479" t="s">
        <v>3216</v>
      </c>
      <c r="B4" s="3479" t="s">
        <v>1947</v>
      </c>
      <c r="C4" s="3479" t="s">
        <v>3213</v>
      </c>
      <c r="D4" s="3479">
        <v>90394.02</v>
      </c>
      <c r="E4" s="3479">
        <v>99433</v>
      </c>
      <c r="F4" s="3479">
        <v>1.1000000000000001</v>
      </c>
      <c r="G4" s="3479" t="s">
        <v>3209</v>
      </c>
      <c r="H4" s="3479" t="s">
        <v>3217</v>
      </c>
      <c r="I4" s="3479">
        <v>557900</v>
      </c>
      <c r="J4" s="3479">
        <v>610000</v>
      </c>
      <c r="K4" s="3479">
        <v>61347.83</v>
      </c>
      <c r="L4" s="3479">
        <v>9.34</v>
      </c>
      <c r="M4" s="3479" t="s">
        <v>3218</v>
      </c>
    </row>
    <row r="5" spans="1:13">
      <c r="A5" s="3479" t="s">
        <v>3219</v>
      </c>
      <c r="B5" s="3479" t="s">
        <v>1947</v>
      </c>
      <c r="C5" s="3479" t="s">
        <v>3213</v>
      </c>
      <c r="D5" s="3479">
        <v>35847.35</v>
      </c>
      <c r="E5" s="3479">
        <v>75279</v>
      </c>
      <c r="F5" s="3479">
        <v>2.1</v>
      </c>
      <c r="G5" s="3479" t="s">
        <v>3209</v>
      </c>
      <c r="H5" s="3479" t="s">
        <v>3220</v>
      </c>
      <c r="I5" s="3479">
        <v>170000</v>
      </c>
      <c r="J5" s="3479">
        <v>186000</v>
      </c>
      <c r="K5" s="3479">
        <v>24708.09</v>
      </c>
      <c r="L5" s="3479">
        <v>9.41</v>
      </c>
      <c r="M5" s="3479" t="s">
        <v>3221</v>
      </c>
    </row>
    <row r="6" spans="1:13">
      <c r="A6" s="3479" t="s">
        <v>3222</v>
      </c>
      <c r="B6" s="3479" t="s">
        <v>1947</v>
      </c>
      <c r="C6" s="3479" t="s">
        <v>3213</v>
      </c>
      <c r="D6" s="3479">
        <v>77973.48</v>
      </c>
      <c r="E6" s="3479">
        <v>194934</v>
      </c>
      <c r="F6" s="3479">
        <v>2.5</v>
      </c>
      <c r="G6" s="3479" t="s">
        <v>3209</v>
      </c>
      <c r="H6" s="3479" t="s">
        <v>3223</v>
      </c>
      <c r="I6" s="3479">
        <v>498000</v>
      </c>
      <c r="J6" s="3479">
        <v>498000</v>
      </c>
      <c r="K6" s="3479">
        <v>25547.11</v>
      </c>
      <c r="L6" s="3479">
        <v>0</v>
      </c>
      <c r="M6" s="3479" t="s">
        <v>3224</v>
      </c>
    </row>
    <row r="7" spans="1:13" s="3481" customFormat="1">
      <c r="A7" s="3480" t="s">
        <v>3225</v>
      </c>
      <c r="B7" s="3480" t="s">
        <v>1947</v>
      </c>
      <c r="C7" s="3480" t="s">
        <v>3208</v>
      </c>
      <c r="D7" s="3480">
        <v>99921.81</v>
      </c>
      <c r="E7" s="3480">
        <v>109014</v>
      </c>
      <c r="F7" s="3480">
        <v>1.1000000000000001</v>
      </c>
      <c r="G7" s="3480" t="s">
        <v>3209</v>
      </c>
      <c r="H7" s="3480" t="s">
        <v>3226</v>
      </c>
      <c r="I7" s="3480">
        <v>400000</v>
      </c>
      <c r="J7" s="3480">
        <v>596000</v>
      </c>
      <c r="K7" s="3480">
        <v>54671.87</v>
      </c>
      <c r="L7" s="3480">
        <v>49</v>
      </c>
      <c r="M7" s="3480" t="s">
        <v>3227</v>
      </c>
    </row>
    <row r="8" spans="1:13" s="3481" customFormat="1">
      <c r="A8" s="3480" t="s">
        <v>3228</v>
      </c>
      <c r="B8" s="3480" t="s">
        <v>1947</v>
      </c>
      <c r="C8" s="3480" t="s">
        <v>3213</v>
      </c>
      <c r="D8" s="3480">
        <v>59511.18</v>
      </c>
      <c r="E8" s="3480">
        <v>89267</v>
      </c>
      <c r="F8" s="3480">
        <v>1.5</v>
      </c>
      <c r="G8" s="3480" t="s">
        <v>3209</v>
      </c>
      <c r="H8" s="3480" t="s">
        <v>3229</v>
      </c>
      <c r="I8" s="3480">
        <v>349000</v>
      </c>
      <c r="J8" s="3480">
        <v>457500</v>
      </c>
      <c r="K8" s="3480">
        <v>51250.73</v>
      </c>
      <c r="L8" s="3480">
        <v>31.09</v>
      </c>
      <c r="M8" s="3480" t="s">
        <v>3230</v>
      </c>
    </row>
    <row r="9" spans="1:13">
      <c r="A9" s="3479" t="s">
        <v>3231</v>
      </c>
      <c r="B9" s="3479" t="s">
        <v>1947</v>
      </c>
      <c r="C9" s="3479" t="s">
        <v>3213</v>
      </c>
      <c r="D9" s="3479">
        <v>60374.36</v>
      </c>
      <c r="E9" s="3479">
        <v>102636</v>
      </c>
      <c r="F9" s="3479">
        <v>1.7</v>
      </c>
      <c r="G9" s="3479" t="s">
        <v>3209</v>
      </c>
      <c r="H9" s="3479" t="s">
        <v>3232</v>
      </c>
      <c r="I9" s="3479">
        <v>210000</v>
      </c>
      <c r="J9" s="3479">
        <v>326000</v>
      </c>
      <c r="K9" s="3479">
        <v>31762.720000000001</v>
      </c>
      <c r="L9" s="3479">
        <v>55.24</v>
      </c>
      <c r="M9" s="3479" t="s">
        <v>3233</v>
      </c>
    </row>
    <row r="10" spans="1:13">
      <c r="A10" s="3479" t="s">
        <v>3234</v>
      </c>
      <c r="B10" s="3479" t="s">
        <v>1947</v>
      </c>
      <c r="C10" s="3479" t="s">
        <v>3208</v>
      </c>
      <c r="D10" s="3479">
        <v>74677.14</v>
      </c>
      <c r="E10" s="3479">
        <v>237938</v>
      </c>
      <c r="F10" s="3479">
        <v>3.19</v>
      </c>
      <c r="G10" s="3479" t="s">
        <v>3209</v>
      </c>
      <c r="H10" s="3479" t="s">
        <v>3235</v>
      </c>
      <c r="I10" s="3479">
        <v>615200</v>
      </c>
      <c r="J10" s="3479">
        <v>615200</v>
      </c>
      <c r="K10" s="3479">
        <v>25855.47</v>
      </c>
      <c r="L10" s="3479">
        <v>0</v>
      </c>
      <c r="M10" s="3479" t="s">
        <v>3236</v>
      </c>
    </row>
    <row r="11" spans="1:13">
      <c r="A11" s="3479" t="s">
        <v>3237</v>
      </c>
      <c r="B11" s="3479" t="s">
        <v>1947</v>
      </c>
      <c r="C11" s="3479" t="s">
        <v>3208</v>
      </c>
      <c r="D11" s="3479">
        <v>56169.07</v>
      </c>
      <c r="E11" s="3479">
        <v>123983</v>
      </c>
      <c r="F11" s="3479">
        <v>2.21</v>
      </c>
      <c r="G11" s="3479" t="s">
        <v>3209</v>
      </c>
      <c r="H11" s="3479" t="s">
        <v>3238</v>
      </c>
      <c r="I11" s="3479">
        <v>503500</v>
      </c>
      <c r="J11" s="3479">
        <v>513500</v>
      </c>
      <c r="K11" s="3479">
        <v>41416.97</v>
      </c>
      <c r="L11" s="3479">
        <v>1.99</v>
      </c>
      <c r="M11" s="3479" t="s">
        <v>3239</v>
      </c>
    </row>
    <row r="12" spans="1:13">
      <c r="A12" s="3479" t="s">
        <v>3240</v>
      </c>
      <c r="B12" s="3479" t="s">
        <v>1947</v>
      </c>
      <c r="C12" s="3479" t="s">
        <v>3208</v>
      </c>
      <c r="D12" s="3479">
        <v>41963.66</v>
      </c>
      <c r="E12" s="3479">
        <v>117498</v>
      </c>
      <c r="F12" s="3479">
        <v>2.8</v>
      </c>
      <c r="G12" s="3479" t="s">
        <v>3209</v>
      </c>
      <c r="H12" s="3479" t="s">
        <v>3241</v>
      </c>
      <c r="I12" s="3479">
        <v>220000</v>
      </c>
      <c r="J12" s="3479">
        <v>330000</v>
      </c>
      <c r="K12" s="3479">
        <v>28085.58</v>
      </c>
      <c r="L12" s="3479">
        <v>50</v>
      </c>
      <c r="M12" s="3479" t="s">
        <v>3242</v>
      </c>
    </row>
    <row r="13" spans="1:13">
      <c r="A13" s="3479" t="s">
        <v>3243</v>
      </c>
      <c r="B13" s="3479" t="s">
        <v>1947</v>
      </c>
      <c r="C13" s="3479" t="s">
        <v>3208</v>
      </c>
      <c r="D13" s="3479">
        <v>69123.38</v>
      </c>
      <c r="E13" s="3479">
        <v>89860</v>
      </c>
      <c r="F13" s="3479">
        <v>1.3</v>
      </c>
      <c r="G13" s="3479" t="s">
        <v>3209</v>
      </c>
      <c r="H13" s="3479" t="s">
        <v>3244</v>
      </c>
      <c r="I13" s="3479">
        <v>196000</v>
      </c>
      <c r="J13" s="3479">
        <v>294000</v>
      </c>
      <c r="K13" s="3479">
        <v>32717.56</v>
      </c>
      <c r="L13" s="3479">
        <v>50</v>
      </c>
      <c r="M13" s="3479" t="s">
        <v>3245</v>
      </c>
    </row>
    <row r="14" spans="1:13">
      <c r="A14" s="3479" t="s">
        <v>3246</v>
      </c>
      <c r="B14" s="3479" t="s">
        <v>1947</v>
      </c>
      <c r="C14" s="3479" t="s">
        <v>3208</v>
      </c>
      <c r="D14" s="3479">
        <v>63913.14</v>
      </c>
      <c r="E14" s="3479">
        <v>159783</v>
      </c>
      <c r="F14" s="3479">
        <v>2.5</v>
      </c>
      <c r="G14" s="3479" t="s">
        <v>3209</v>
      </c>
      <c r="H14" s="3479" t="s">
        <v>3247</v>
      </c>
      <c r="I14" s="3479">
        <v>305000</v>
      </c>
      <c r="J14" s="3479">
        <v>425000</v>
      </c>
      <c r="K14" s="3479">
        <v>26598.560000000001</v>
      </c>
      <c r="L14" s="3479">
        <v>39.340000000000003</v>
      </c>
      <c r="M14" s="3479" t="s">
        <v>3248</v>
      </c>
    </row>
    <row r="15" spans="1:13">
      <c r="A15" s="3479" t="s">
        <v>3249</v>
      </c>
      <c r="B15" s="3479" t="s">
        <v>1947</v>
      </c>
      <c r="C15" s="3479" t="s">
        <v>3208</v>
      </c>
      <c r="D15" s="3479">
        <v>121096.3</v>
      </c>
      <c r="E15" s="3479">
        <v>143685</v>
      </c>
      <c r="F15" s="3479">
        <v>1.19</v>
      </c>
      <c r="G15" s="3479" t="s">
        <v>3209</v>
      </c>
      <c r="H15" s="3479" t="s">
        <v>3250</v>
      </c>
      <c r="I15" s="3479">
        <v>432200</v>
      </c>
      <c r="J15" s="3479">
        <v>648300</v>
      </c>
      <c r="K15" s="3479">
        <v>45119.519999999997</v>
      </c>
      <c r="L15" s="3479">
        <v>50</v>
      </c>
      <c r="M15" s="3479" t="s">
        <v>3251</v>
      </c>
    </row>
    <row r="16" spans="1:13">
      <c r="A16" s="3479" t="s">
        <v>3252</v>
      </c>
      <c r="B16" s="3479" t="s">
        <v>1947</v>
      </c>
      <c r="C16" s="3479" t="s">
        <v>3208</v>
      </c>
      <c r="D16" s="3479">
        <v>46486.13</v>
      </c>
      <c r="E16" s="3479">
        <v>68269</v>
      </c>
      <c r="F16" s="3479">
        <v>1.47</v>
      </c>
      <c r="G16" s="3479" t="s">
        <v>3209</v>
      </c>
      <c r="H16" s="3479" t="s">
        <v>3253</v>
      </c>
      <c r="I16" s="3479">
        <v>79100</v>
      </c>
      <c r="J16" s="3479">
        <v>112500</v>
      </c>
      <c r="K16" s="3479">
        <v>16478.93</v>
      </c>
      <c r="L16" s="3479">
        <v>42.23</v>
      </c>
      <c r="M16" s="3479" t="s">
        <v>3254</v>
      </c>
    </row>
  </sheetData>
  <phoneticPr fontId="23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13" zoomScaleSheetLayoutView="100" zoomScalePageLayoutView="80" workbookViewId="0">
      <selection activeCell="F28" sqref="F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2055</v>
      </c>
      <c r="B1" s="1778"/>
      <c r="C1" s="1806" t="s">
        <v>2056</v>
      </c>
      <c r="D1" s="1807"/>
      <c r="E1" s="1806" t="s">
        <v>2057</v>
      </c>
      <c r="F1" s="1808"/>
      <c r="G1" s="311"/>
      <c r="H1" s="311"/>
      <c r="I1" s="311"/>
      <c r="J1" s="2030"/>
      <c r="K1" s="2030"/>
      <c r="L1" s="2030"/>
      <c r="M1" s="2030"/>
      <c r="N1" s="2030"/>
      <c r="O1" s="2030"/>
      <c r="P1" s="2030"/>
      <c r="Q1" s="2030"/>
      <c r="R1" s="2030"/>
      <c r="S1" s="2030"/>
      <c r="T1" s="2030"/>
      <c r="U1" s="2030"/>
      <c r="V1" s="2030"/>
    </row>
    <row r="2" spans="1:22" ht="21.75" customHeight="1" thickBot="1">
      <c r="A2" s="3627" t="str">
        <f>项目基本情况!K2</f>
        <v>北京市朝阳区京顺路来广营东路（雍景桃源一期）出让国有建设用地使用权</v>
      </c>
      <c r="B2" s="3628"/>
      <c r="C2" s="3629"/>
      <c r="D2" s="3629"/>
      <c r="E2" s="3629"/>
      <c r="F2" s="3629"/>
      <c r="G2" s="3628"/>
      <c r="H2" s="3628"/>
      <c r="I2" s="3630"/>
      <c r="J2" s="2031"/>
      <c r="K2" s="2030"/>
      <c r="L2" s="2030"/>
      <c r="M2" s="2030"/>
      <c r="N2" s="2030"/>
      <c r="O2" s="2030"/>
      <c r="P2" s="2030"/>
      <c r="Q2" s="2030"/>
      <c r="R2" s="2030"/>
      <c r="S2" s="2030"/>
      <c r="T2" s="2030"/>
      <c r="U2" s="2030"/>
      <c r="V2" s="2030"/>
    </row>
    <row r="3" spans="1:22" ht="14.25">
      <c r="A3" s="3620" t="s">
        <v>296</v>
      </c>
      <c r="B3" s="3621"/>
      <c r="C3" s="3621"/>
      <c r="D3" s="3621"/>
      <c r="E3" s="3621"/>
      <c r="F3" s="3621"/>
      <c r="G3" s="3621"/>
      <c r="H3" s="3621"/>
      <c r="I3" s="3621"/>
      <c r="J3" s="2031"/>
      <c r="K3" s="2030"/>
      <c r="L3" s="2030"/>
      <c r="M3" s="2030"/>
      <c r="N3" s="2030"/>
      <c r="O3" s="2030"/>
      <c r="P3" s="2030"/>
      <c r="Q3" s="2030"/>
      <c r="R3" s="2030"/>
      <c r="S3" s="2030"/>
      <c r="T3" s="2030"/>
      <c r="U3" s="2030"/>
      <c r="V3" s="2030"/>
    </row>
    <row r="4" spans="1:22" ht="14.25">
      <c r="A4" s="258" t="s">
        <v>297</v>
      </c>
      <c r="B4" s="259" t="s">
        <v>298</v>
      </c>
      <c r="C4" s="260" t="s">
        <v>3281</v>
      </c>
      <c r="D4" s="260" t="s">
        <v>3282</v>
      </c>
      <c r="E4" s="3592" t="s">
        <v>299</v>
      </c>
      <c r="F4" s="3593"/>
      <c r="G4" s="3593"/>
      <c r="H4" s="3593"/>
      <c r="I4" s="3622"/>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591" t="s">
        <v>300</v>
      </c>
      <c r="B5" s="3617">
        <v>25</v>
      </c>
      <c r="C5" s="3615"/>
      <c r="D5" s="3619"/>
      <c r="E5" s="261" t="s">
        <v>301</v>
      </c>
      <c r="F5" s="262"/>
      <c r="G5" s="262"/>
      <c r="H5" s="262"/>
      <c r="I5" s="263"/>
      <c r="J5" s="2031"/>
      <c r="K5" s="2030"/>
      <c r="L5" s="2030"/>
      <c r="M5" s="2030"/>
      <c r="N5" s="2030"/>
      <c r="O5" s="2030"/>
      <c r="P5" s="2030"/>
      <c r="Q5" s="2030"/>
      <c r="R5" s="2030"/>
      <c r="S5" s="2030"/>
      <c r="T5" s="2030"/>
      <c r="U5" s="2030"/>
      <c r="V5" s="2030"/>
    </row>
    <row r="6" spans="1:22" ht="14.25">
      <c r="A6" s="3591"/>
      <c r="B6" s="3617"/>
      <c r="C6" s="3618"/>
      <c r="D6" s="3619"/>
      <c r="E6" s="261" t="s">
        <v>302</v>
      </c>
      <c r="F6" s="262"/>
      <c r="G6" s="262"/>
      <c r="H6" s="262"/>
      <c r="I6" s="263"/>
      <c r="J6" s="2031"/>
      <c r="K6" s="2030"/>
      <c r="L6" s="2030"/>
      <c r="M6" s="2030"/>
      <c r="N6" s="2030"/>
      <c r="O6" s="2030"/>
      <c r="P6" s="2030"/>
      <c r="Q6" s="2030"/>
      <c r="R6" s="2030"/>
      <c r="S6" s="2030"/>
      <c r="T6" s="2030"/>
      <c r="U6" s="2030"/>
      <c r="V6" s="2030"/>
    </row>
    <row r="7" spans="1:22" ht="14.25">
      <c r="A7" s="3591"/>
      <c r="B7" s="3617"/>
      <c r="C7" s="3616"/>
      <c r="D7" s="3619"/>
      <c r="E7" s="261" t="s">
        <v>303</v>
      </c>
      <c r="F7" s="262"/>
      <c r="G7" s="262"/>
      <c r="H7" s="262"/>
      <c r="I7" s="263"/>
      <c r="J7" s="2031"/>
      <c r="K7" s="2030"/>
      <c r="L7" s="2030"/>
      <c r="M7" s="2030"/>
      <c r="N7" s="2030"/>
      <c r="O7" s="2030"/>
      <c r="P7" s="2030"/>
      <c r="Q7" s="2030"/>
      <c r="R7" s="2030"/>
      <c r="S7" s="2030"/>
      <c r="T7" s="2030"/>
      <c r="U7" s="2030"/>
      <c r="V7" s="2030"/>
    </row>
    <row r="8" spans="1:22" ht="14.25">
      <c r="A8" s="3591" t="s">
        <v>304</v>
      </c>
      <c r="B8" s="3617">
        <v>15</v>
      </c>
      <c r="C8" s="3615"/>
      <c r="D8" s="3619"/>
      <c r="E8" s="261" t="s">
        <v>305</v>
      </c>
      <c r="F8" s="262"/>
      <c r="G8" s="262"/>
      <c r="H8" s="262"/>
      <c r="I8" s="263"/>
      <c r="J8" s="2031"/>
      <c r="K8" s="2030"/>
      <c r="L8" s="2030"/>
      <c r="M8" s="2030"/>
      <c r="N8" s="2030"/>
      <c r="O8" s="2030"/>
      <c r="P8" s="2030"/>
      <c r="Q8" s="2030"/>
      <c r="R8" s="2030"/>
      <c r="S8" s="2030"/>
      <c r="T8" s="2030"/>
      <c r="U8" s="2030"/>
      <c r="V8" s="2030"/>
    </row>
    <row r="9" spans="1:22" ht="14.25">
      <c r="A9" s="3591"/>
      <c r="B9" s="3617"/>
      <c r="C9" s="3616"/>
      <c r="D9" s="3619"/>
      <c r="E9" s="261" t="s">
        <v>306</v>
      </c>
      <c r="F9" s="262"/>
      <c r="G9" s="262"/>
      <c r="H9" s="262"/>
      <c r="I9" s="263"/>
      <c r="J9" s="2031"/>
      <c r="K9" s="2030"/>
      <c r="L9" s="2030"/>
      <c r="M9" s="2030"/>
      <c r="N9" s="2030"/>
      <c r="O9" s="2030"/>
      <c r="P9" s="2030"/>
      <c r="Q9" s="2030"/>
      <c r="R9" s="2030"/>
      <c r="S9" s="2030"/>
      <c r="T9" s="2030"/>
      <c r="U9" s="2030"/>
      <c r="V9" s="2030"/>
    </row>
    <row r="10" spans="1:22" ht="14.25">
      <c r="A10" s="3591" t="s">
        <v>307</v>
      </c>
      <c r="B10" s="3617">
        <v>15</v>
      </c>
      <c r="C10" s="3615"/>
      <c r="D10" s="3619"/>
      <c r="E10" s="261" t="s">
        <v>308</v>
      </c>
      <c r="F10" s="262"/>
      <c r="G10" s="262"/>
      <c r="H10" s="262"/>
      <c r="I10" s="263"/>
      <c r="J10" s="2031"/>
      <c r="K10" s="2030"/>
      <c r="L10" s="2030"/>
      <c r="M10" s="2030"/>
      <c r="N10" s="2030"/>
      <c r="O10" s="2030"/>
      <c r="P10" s="2030"/>
      <c r="Q10" s="2030"/>
      <c r="R10" s="2030"/>
      <c r="S10" s="2030"/>
      <c r="T10" s="2030"/>
      <c r="U10" s="2030"/>
      <c r="V10" s="2030"/>
    </row>
    <row r="11" spans="1:22" ht="14.25">
      <c r="A11" s="3591"/>
      <c r="B11" s="3617"/>
      <c r="C11" s="3616"/>
      <c r="D11" s="3619"/>
      <c r="E11" s="261" t="s">
        <v>309</v>
      </c>
      <c r="F11" s="262"/>
      <c r="G11" s="262"/>
      <c r="H11" s="262"/>
      <c r="I11" s="263"/>
      <c r="J11" s="2031"/>
      <c r="K11" s="2030"/>
      <c r="L11" s="2030"/>
      <c r="M11" s="2030"/>
      <c r="N11" s="2030"/>
      <c r="O11" s="2030"/>
      <c r="P11" s="2030"/>
      <c r="Q11" s="2030"/>
      <c r="R11" s="2030"/>
      <c r="S11" s="2030"/>
      <c r="T11" s="2030"/>
      <c r="U11" s="2030"/>
      <c r="V11" s="2030"/>
    </row>
    <row r="12" spans="1:22" ht="14.25">
      <c r="A12" s="3591" t="s">
        <v>310</v>
      </c>
      <c r="B12" s="3617">
        <v>15</v>
      </c>
      <c r="C12" s="3615"/>
      <c r="D12" s="3619"/>
      <c r="E12" s="261" t="s">
        <v>311</v>
      </c>
      <c r="F12" s="262"/>
      <c r="G12" s="262"/>
      <c r="H12" s="262"/>
      <c r="I12" s="263"/>
      <c r="J12" s="2031"/>
      <c r="K12" s="2030"/>
      <c r="L12" s="2030"/>
      <c r="M12" s="2030"/>
      <c r="N12" s="2030"/>
      <c r="O12" s="2030"/>
      <c r="P12" s="2030"/>
      <c r="Q12" s="2030"/>
      <c r="R12" s="2030"/>
      <c r="S12" s="2030"/>
      <c r="T12" s="2030"/>
      <c r="U12" s="2030"/>
      <c r="V12" s="2030"/>
    </row>
    <row r="13" spans="1:22" ht="14.25">
      <c r="A13" s="3591"/>
      <c r="B13" s="3617"/>
      <c r="C13" s="3616"/>
      <c r="D13" s="3619"/>
      <c r="E13" s="261" t="s">
        <v>312</v>
      </c>
      <c r="F13" s="262"/>
      <c r="G13" s="262"/>
      <c r="H13" s="262"/>
      <c r="I13" s="263"/>
      <c r="J13" s="2031"/>
      <c r="K13" s="2030"/>
      <c r="L13" s="2030"/>
      <c r="M13" s="2030"/>
      <c r="N13" s="2030"/>
      <c r="O13" s="2030"/>
      <c r="P13" s="2030"/>
      <c r="Q13" s="2030"/>
      <c r="R13" s="2030"/>
      <c r="S13" s="2030"/>
      <c r="T13" s="2030"/>
      <c r="U13" s="2030"/>
      <c r="V13" s="2030"/>
    </row>
    <row r="14" spans="1:22" ht="14.25">
      <c r="A14" s="3591" t="s">
        <v>313</v>
      </c>
      <c r="B14" s="3617">
        <v>30</v>
      </c>
      <c r="C14" s="3615">
        <v>5</v>
      </c>
      <c r="D14" s="3619">
        <v>5</v>
      </c>
      <c r="E14" s="261" t="s">
        <v>314</v>
      </c>
      <c r="F14" s="262"/>
      <c r="G14" s="262"/>
      <c r="H14" s="262"/>
      <c r="I14" s="263"/>
      <c r="J14" s="2031"/>
      <c r="K14" s="2030"/>
      <c r="L14" s="2030"/>
      <c r="M14" s="2030"/>
      <c r="N14" s="2030"/>
      <c r="O14" s="2030"/>
      <c r="P14" s="2030"/>
      <c r="Q14" s="2030"/>
      <c r="R14" s="2030"/>
      <c r="S14" s="2030"/>
      <c r="T14" s="2030"/>
      <c r="U14" s="2030"/>
      <c r="V14" s="2030"/>
    </row>
    <row r="15" spans="1:22" ht="14.25">
      <c r="A15" s="3591"/>
      <c r="B15" s="3617"/>
      <c r="C15" s="3618"/>
      <c r="D15" s="3619"/>
      <c r="E15" s="261" t="s">
        <v>315</v>
      </c>
      <c r="F15" s="262"/>
      <c r="G15" s="262"/>
      <c r="H15" s="262"/>
      <c r="I15" s="263"/>
      <c r="J15" s="2031"/>
      <c r="K15" s="2030"/>
      <c r="L15" s="2030"/>
      <c r="M15" s="2030"/>
      <c r="N15" s="2030"/>
      <c r="O15" s="2030"/>
      <c r="P15" s="2030"/>
      <c r="Q15" s="2030"/>
      <c r="R15" s="2030"/>
      <c r="S15" s="2030"/>
      <c r="T15" s="2030"/>
      <c r="U15" s="2030"/>
      <c r="V15" s="2030"/>
    </row>
    <row r="16" spans="1:22" ht="14.25">
      <c r="A16" s="3591"/>
      <c r="B16" s="3617"/>
      <c r="C16" s="3616"/>
      <c r="D16" s="3619"/>
      <c r="E16" s="261" t="s">
        <v>316</v>
      </c>
      <c r="F16" s="262"/>
      <c r="G16" s="262"/>
      <c r="H16" s="262"/>
      <c r="I16" s="263"/>
      <c r="J16" s="2031"/>
      <c r="K16" s="2030"/>
      <c r="L16" s="2030"/>
      <c r="M16" s="2030"/>
      <c r="N16" s="2030"/>
      <c r="O16" s="2030"/>
      <c r="P16" s="2030"/>
      <c r="Q16" s="2030"/>
      <c r="R16" s="2030"/>
      <c r="S16" s="2030"/>
      <c r="T16" s="2030"/>
      <c r="U16" s="2030"/>
      <c r="V16" s="2030"/>
    </row>
    <row r="17" spans="1:26" ht="15">
      <c r="A17" s="264" t="s">
        <v>317</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318</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319</v>
      </c>
      <c r="B19" s="269" t="s">
        <v>320</v>
      </c>
      <c r="C19" s="270">
        <f ca="1">SUMIF(INDIRECT("'"&amp;C4&amp;"'"&amp;"!A:A"),结果表!B19,INDIRECT("'"&amp;C4&amp;"'"&amp;"!B:B"))</f>
        <v>445608</v>
      </c>
      <c r="D19" s="271">
        <f ca="1">SUMIF(INDIRECT("'"&amp;D4&amp;"'"&amp;"!A:A"),结果表!B19,INDIRECT("'"&amp;D4&amp;"'"&amp;"!B:B"))</f>
        <v>536925</v>
      </c>
      <c r="E19" s="268" t="s">
        <v>321</v>
      </c>
      <c r="F19" s="269" t="s">
        <v>320</v>
      </c>
      <c r="G19" s="272">
        <f ca="1">ROUND(C19*$C$18+D19*$D$18,0)</f>
        <v>491267</v>
      </c>
      <c r="H19" s="273" t="s">
        <v>322</v>
      </c>
      <c r="I19" s="311"/>
      <c r="J19" s="2030"/>
      <c r="K19" s="2030"/>
      <c r="L19" s="2030"/>
      <c r="M19" s="2030"/>
      <c r="N19" s="2030"/>
      <c r="O19" s="2030"/>
      <c r="P19" s="2030"/>
      <c r="Q19" s="2030"/>
      <c r="R19" s="2030"/>
      <c r="S19" s="2030"/>
      <c r="T19" s="2030"/>
      <c r="U19" s="2030"/>
      <c r="V19" s="2030"/>
    </row>
    <row r="20" spans="1:26" ht="15">
      <c r="A20" s="274"/>
      <c r="B20" s="275" t="s">
        <v>323</v>
      </c>
      <c r="C20" s="276">
        <f ca="1">SUMIF(INDIRECT("'"&amp;C4&amp;"'"&amp;"!A:A"),结果表!B20,INDIRECT("'"&amp;C4&amp;"'"&amp;"!B:B"))</f>
        <v>42485</v>
      </c>
      <c r="D20" s="277">
        <f ca="1">SUMIF(INDIRECT("'"&amp;D4&amp;"'"&amp;"!A:A"),结果表!B20,INDIRECT("'"&amp;D4&amp;"'"&amp;"!B:B"))</f>
        <v>51192</v>
      </c>
      <c r="E20" s="274"/>
      <c r="F20" s="275" t="s">
        <v>323</v>
      </c>
      <c r="G20" s="278">
        <f ca="1">ROUND(C20*$C$18+D20*$D$18,0)</f>
        <v>46839</v>
      </c>
      <c r="H20" s="279" t="s">
        <v>324</v>
      </c>
      <c r="I20" s="311"/>
      <c r="J20" s="2030"/>
      <c r="K20" s="2030"/>
      <c r="L20" s="2030"/>
      <c r="M20" s="2030"/>
      <c r="N20" s="2030"/>
      <c r="O20" s="2030"/>
      <c r="P20" s="2030"/>
      <c r="Q20" s="2030"/>
      <c r="R20" s="2030"/>
      <c r="S20" s="2030"/>
      <c r="T20" s="2030"/>
      <c r="U20" s="2030"/>
      <c r="V20" s="2030"/>
    </row>
    <row r="21" spans="1:26" ht="15" customHeight="1">
      <c r="A21" s="274"/>
      <c r="B21" s="280" t="s">
        <v>325</v>
      </c>
      <c r="C21" s="281">
        <f ca="1">SUMIF(INDIRECT("'"&amp;C4&amp;"'"&amp;"!A:A"),结果表!B21,INDIRECT("'"&amp;C4&amp;"'"&amp;"!B:B"))</f>
        <v>44610</v>
      </c>
      <c r="D21" s="151">
        <f ca="1">SUMIF(INDIRECT("'"&amp;D4&amp;"'"&amp;"!A:A"),结果表!B21,INDIRECT("'"&amp;D4&amp;"'"&amp;"!B:B"))</f>
        <v>53751</v>
      </c>
      <c r="E21" s="274"/>
      <c r="F21" s="280" t="s">
        <v>325</v>
      </c>
      <c r="G21" s="282">
        <f ca="1">ROUND(C21*$C$18+D21*$D$18,0)</f>
        <v>49181</v>
      </c>
      <c r="H21" s="1251" t="s">
        <v>324</v>
      </c>
      <c r="I21" s="311"/>
      <c r="J21" s="2030"/>
      <c r="K21" s="2030"/>
      <c r="L21" s="2030"/>
      <c r="M21" s="2030"/>
      <c r="N21" s="2030"/>
      <c r="O21" s="2030"/>
      <c r="P21" s="2030"/>
      <c r="Q21" s="2030"/>
      <c r="R21" s="2030"/>
      <c r="S21" s="2030"/>
      <c r="T21" s="2030"/>
      <c r="U21" s="2030"/>
      <c r="V21" s="2030"/>
    </row>
    <row r="22" spans="1:26" ht="15.75" thickBot="1">
      <c r="A22" s="126" t="s">
        <v>326</v>
      </c>
      <c r="B22" s="1252"/>
      <c r="C22" s="1253"/>
      <c r="D22" s="283">
        <f ca="1">IF(C19&lt;D19,D19/C19-1,C19/D19-1)</f>
        <v>0.2049267517638822</v>
      </c>
      <c r="E22" s="284"/>
      <c r="F22" s="285"/>
      <c r="G22" s="286">
        <f ca="1">ROUND(G19/('数据-汇总表'!D3/666.67),0)</f>
        <v>3279</v>
      </c>
      <c r="H22" s="287" t="s">
        <v>327</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597" t="s">
        <v>328</v>
      </c>
      <c r="B24" s="269" t="s">
        <v>320</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598"/>
      <c r="B25" s="1321" t="s">
        <v>329</v>
      </c>
      <c r="C25" s="290">
        <f>IF(B30=0,0,C30)</f>
        <v>0</v>
      </c>
      <c r="D25" s="291"/>
      <c r="E25" s="311"/>
      <c r="F25" s="311"/>
      <c r="G25" s="311"/>
      <c r="H25" s="311"/>
      <c r="I25" s="311"/>
      <c r="J25" s="2030"/>
      <c r="K25" s="1255" t="str">
        <f ca="1">项目基本情况!B16&amp;"国有建设用地使用权价格："&amp;O38&amp;"万元"</f>
        <v>出让国有建设用地使用权价格：491267万元</v>
      </c>
      <c r="L25" s="1256"/>
      <c r="M25" s="1256"/>
      <c r="N25" s="1256"/>
      <c r="O25" s="1257"/>
      <c r="P25" s="2030"/>
      <c r="Q25" s="2030"/>
      <c r="R25" s="2030"/>
      <c r="S25" s="2030"/>
      <c r="T25" s="2030"/>
      <c r="U25" s="2030"/>
      <c r="V25" s="2030"/>
    </row>
    <row r="26" spans="1:26" s="1254" customFormat="1" ht="18">
      <c r="A26" s="293" t="s">
        <v>330</v>
      </c>
      <c r="B26" s="294" t="s">
        <v>331</v>
      </c>
      <c r="C26" s="294" t="s">
        <v>332</v>
      </c>
      <c r="D26" s="295" t="s">
        <v>333</v>
      </c>
      <c r="E26" s="311"/>
      <c r="F26" s="311"/>
      <c r="G26" s="311"/>
      <c r="H26" s="311"/>
      <c r="I26" s="311"/>
      <c r="J26" s="2030"/>
      <c r="K26" s="1258" t="str">
        <f ca="1">"大写金额：人民币"&amp;NUMBERSTRING(INT(O38*10000),2)&amp;"元整"</f>
        <v>大写金额：人民币肆拾玖亿壹仟贰佰陆拾柒万元整</v>
      </c>
      <c r="L26" s="1252"/>
      <c r="M26" s="1252"/>
      <c r="N26" s="1252"/>
      <c r="O26" s="1251"/>
      <c r="P26" s="2030"/>
      <c r="Q26" s="2030"/>
      <c r="R26" s="2030"/>
      <c r="S26" s="2030"/>
      <c r="T26" s="2030"/>
      <c r="U26" s="2030"/>
      <c r="V26" s="2030"/>
      <c r="W26" s="292"/>
      <c r="X26" s="292"/>
      <c r="Y26" s="292"/>
      <c r="Z26" s="292"/>
    </row>
    <row r="27" spans="1:26" ht="18">
      <c r="A27" s="3485" t="s">
        <v>3283</v>
      </c>
      <c r="B27" s="294">
        <f>'数据-汇总表'!E3-ROUND('数据-汇总表'!D3*0.53,2)</f>
        <v>51942.979999999989</v>
      </c>
      <c r="C27" s="294">
        <f>ROUND('比较法-住宅、综合'!C50*0.25,0)</f>
        <v>10802</v>
      </c>
      <c r="D27" s="295">
        <f>ROUND(B27*C27/10000,0)</f>
        <v>56109</v>
      </c>
      <c r="E27" s="311"/>
      <c r="F27" s="311"/>
      <c r="G27" s="311"/>
      <c r="H27" s="311"/>
      <c r="I27" s="311"/>
      <c r="J27" s="2030"/>
      <c r="K27" s="1258" t="str">
        <f ca="1">"单位面积地价："&amp;M38&amp;"元/平方米"</f>
        <v>单位面积地价：49181元/平方米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楼面地价：46839元/平方米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3" t="s">
        <v>334</v>
      </c>
      <c r="B30" s="309"/>
      <c r="C30" s="309"/>
      <c r="D30" s="310"/>
      <c r="E30" s="3164" t="s">
        <v>2972</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335</v>
      </c>
      <c r="B32" s="1382" t="s">
        <v>1688</v>
      </c>
      <c r="C32" s="1383">
        <f ca="1">G19-C24</f>
        <v>491267</v>
      </c>
      <c r="D32" s="1384" t="s">
        <v>1689</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338</v>
      </c>
      <c r="B33" s="1385" t="s">
        <v>1690</v>
      </c>
      <c r="C33" s="264">
        <f ca="1">ROUND(C32*10000/'数据-汇总表'!E3,0)</f>
        <v>46839</v>
      </c>
      <c r="D33" s="1386" t="s">
        <v>1691</v>
      </c>
      <c r="E33" s="3597" t="s">
        <v>336</v>
      </c>
      <c r="F33" s="296" t="s">
        <v>337</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49181</v>
      </c>
      <c r="D34" s="1388" t="s">
        <v>1691</v>
      </c>
      <c r="E34" s="3638"/>
      <c r="F34" s="127" t="s">
        <v>339</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3279</v>
      </c>
      <c r="D35" s="1391" t="s">
        <v>1693</v>
      </c>
      <c r="E35" s="3639"/>
      <c r="F35" s="301" t="s">
        <v>340</v>
      </c>
      <c r="G35" s="982"/>
      <c r="H35" s="981" t="s">
        <v>341</v>
      </c>
      <c r="I35" s="311"/>
      <c r="J35" s="2030"/>
      <c r="K35" s="3612" t="s">
        <v>348</v>
      </c>
      <c r="L35" s="3612" t="s">
        <v>349</v>
      </c>
      <c r="M35" s="1264" t="s">
        <v>350</v>
      </c>
      <c r="N35" s="3612" t="s">
        <v>351</v>
      </c>
      <c r="O35" s="3612" t="s">
        <v>352</v>
      </c>
      <c r="P35" s="2030"/>
      <c r="V35" s="2030"/>
    </row>
    <row r="36" spans="1:26" ht="16.5" customHeight="1">
      <c r="A36" s="303" t="s">
        <v>342</v>
      </c>
      <c r="B36" s="304" t="s">
        <v>331</v>
      </c>
      <c r="C36" s="305" t="s">
        <v>343</v>
      </c>
      <c r="D36" s="305" t="s">
        <v>344</v>
      </c>
      <c r="E36" s="306" t="s">
        <v>345</v>
      </c>
      <c r="F36" s="311"/>
      <c r="G36" s="311"/>
      <c r="H36" s="311"/>
      <c r="I36" s="311"/>
      <c r="J36" s="2032"/>
      <c r="K36" s="3613"/>
      <c r="L36" s="3613"/>
      <c r="M36" s="1266" t="s">
        <v>353</v>
      </c>
      <c r="N36" s="3613"/>
      <c r="O36" s="3613"/>
      <c r="P36" s="2030"/>
      <c r="V36" s="2030"/>
    </row>
    <row r="37" spans="1:26" ht="16.5" customHeight="1" thickBot="1">
      <c r="A37" s="1260" t="s">
        <v>346</v>
      </c>
      <c r="B37" s="307"/>
      <c r="C37" s="294"/>
      <c r="D37" s="294"/>
      <c r="E37" s="295"/>
      <c r="F37" s="311"/>
      <c r="G37" s="311"/>
      <c r="H37" s="311"/>
      <c r="I37" s="311"/>
      <c r="J37" s="2032"/>
      <c r="K37" s="3614"/>
      <c r="L37" s="3614"/>
      <c r="M37" s="1267"/>
      <c r="N37" s="3614"/>
      <c r="O37" s="3614"/>
      <c r="P37" s="2030"/>
      <c r="V37" s="2030"/>
    </row>
    <row r="38" spans="1:26" ht="16.5" customHeight="1" thickBot="1">
      <c r="A38" s="1260" t="s">
        <v>347</v>
      </c>
      <c r="B38" s="307"/>
      <c r="C38" s="294"/>
      <c r="D38" s="294"/>
      <c r="E38" s="295"/>
      <c r="F38" s="311"/>
      <c r="G38" s="311"/>
      <c r="H38" s="311"/>
      <c r="I38" s="311"/>
      <c r="J38" s="2032"/>
      <c r="K38" s="1268">
        <f>'数据-汇总表'!D3</f>
        <v>99890.33</v>
      </c>
      <c r="L38" s="1269">
        <f>'数据-汇总表'!E3</f>
        <v>104884.84999999999</v>
      </c>
      <c r="M38" s="1269">
        <f ca="1">C34</f>
        <v>49181</v>
      </c>
      <c r="N38" s="1269">
        <f ca="1">C33</f>
        <v>46839</v>
      </c>
      <c r="O38" s="1270">
        <f ca="1">C32</f>
        <v>491267</v>
      </c>
      <c r="P38" s="2030"/>
      <c r="V38" s="2030"/>
    </row>
    <row r="39" spans="1:26" ht="16.5" customHeight="1" thickBot="1">
      <c r="A39" s="1265"/>
      <c r="B39" s="308"/>
      <c r="C39" s="309"/>
      <c r="D39" s="309"/>
      <c r="E39" s="310"/>
      <c r="F39" s="311"/>
      <c r="G39" s="311"/>
      <c r="H39" s="311"/>
      <c r="I39" s="311"/>
      <c r="J39" s="2032"/>
      <c r="K39" s="3657" t="str">
        <f>MID(A44,3,LEN(A44)-2)</f>
        <v/>
      </c>
      <c r="L39" s="3658"/>
      <c r="M39" s="3658"/>
      <c r="N39" s="3659"/>
      <c r="O39" s="1393" t="str">
        <f>C44</f>
        <v>——</v>
      </c>
      <c r="P39" s="2030"/>
      <c r="V39" s="2030"/>
    </row>
    <row r="40" spans="1:26" ht="19.5" thickBot="1">
      <c r="A40" s="104" t="s">
        <v>872</v>
      </c>
      <c r="B40" s="311"/>
      <c r="C40" s="311"/>
      <c r="D40" s="311"/>
      <c r="E40" s="311"/>
      <c r="F40" s="311"/>
      <c r="G40" s="311"/>
      <c r="H40" s="311"/>
      <c r="I40" s="311"/>
      <c r="J40" s="2032"/>
      <c r="K40" s="3657" t="str">
        <f t="shared" ref="K40:K41" si="0">MID(A45,3,LEN(A45)-2)</f>
        <v/>
      </c>
      <c r="L40" s="3658"/>
      <c r="M40" s="3658"/>
      <c r="N40" s="3659"/>
      <c r="O40" s="1393" t="str">
        <f>C45</f>
        <v>——</v>
      </c>
      <c r="P40" s="2030"/>
      <c r="V40" s="2030"/>
    </row>
    <row r="41" spans="1:26" ht="16.5" thickBot="1">
      <c r="A41" s="312" t="s">
        <v>354</v>
      </c>
      <c r="B41" s="313"/>
      <c r="C41" s="314" t="s">
        <v>355</v>
      </c>
      <c r="D41" s="315" t="s">
        <v>356</v>
      </c>
      <c r="E41" s="315" t="s">
        <v>357</v>
      </c>
      <c r="F41" s="316" t="s">
        <v>358</v>
      </c>
      <c r="G41" s="311"/>
      <c r="H41" s="311"/>
      <c r="I41" s="311"/>
      <c r="J41" s="2032"/>
      <c r="K41" s="3657" t="str">
        <f t="shared" si="0"/>
        <v/>
      </c>
      <c r="L41" s="3658"/>
      <c r="M41" s="3658"/>
      <c r="N41" s="3659"/>
      <c r="O41" s="1393" t="str">
        <f>C46</f>
        <v>——</v>
      </c>
      <c r="P41" s="2030"/>
      <c r="V41" s="2030"/>
    </row>
    <row r="42" spans="1:26" ht="29.25">
      <c r="A42" s="3599" t="s">
        <v>2067</v>
      </c>
      <c r="B42" s="3600"/>
      <c r="C42" s="264">
        <f ca="1">C32</f>
        <v>491267</v>
      </c>
      <c r="D42" s="317">
        <f ca="1">C33</f>
        <v>46839</v>
      </c>
      <c r="E42" s="317">
        <f ca="1">C34</f>
        <v>49181</v>
      </c>
      <c r="F42" s="318">
        <f ca="1">C35</f>
        <v>3279</v>
      </c>
      <c r="G42" s="311"/>
      <c r="H42" s="311"/>
      <c r="I42" s="319"/>
      <c r="J42" s="2032"/>
      <c r="K42" s="1271" t="s">
        <v>359</v>
      </c>
      <c r="L42" s="2049" t="s">
        <v>360</v>
      </c>
      <c r="M42" s="1272" t="s">
        <v>361</v>
      </c>
      <c r="N42" s="2050" t="s">
        <v>362</v>
      </c>
      <c r="O42" s="2051" t="s">
        <v>363</v>
      </c>
      <c r="P42" s="2030"/>
      <c r="V42" s="2030"/>
    </row>
    <row r="43" spans="1:26" ht="30">
      <c r="A43" s="3610" t="s">
        <v>2732</v>
      </c>
      <c r="B43" s="3611"/>
      <c r="C43" s="264">
        <f>IF(H33="正常操作",G33+G34+G35,G34+G35)</f>
        <v>0</v>
      </c>
      <c r="D43" s="317" t="s">
        <v>43</v>
      </c>
      <c r="E43" s="317" t="s">
        <v>44</v>
      </c>
      <c r="F43" s="318" t="s">
        <v>44</v>
      </c>
      <c r="G43" s="2893" t="s">
        <v>951</v>
      </c>
      <c r="H43" s="311"/>
      <c r="I43" s="319"/>
      <c r="J43" s="2032"/>
      <c r="K43" s="1273" t="str">
        <f>C4</f>
        <v>比较法-住宅、综合</v>
      </c>
      <c r="L43" s="1274">
        <f ca="1">IF(L42="估价结果/万元",C19,C20)</f>
        <v>445608</v>
      </c>
      <c r="M43" s="1275">
        <f>C18</f>
        <v>0.5</v>
      </c>
      <c r="N43" s="1276">
        <f ca="1">IF(N42="测算结果/万元",G19,G20)</f>
        <v>491267</v>
      </c>
      <c r="O43" s="1277">
        <f ca="1">IF(O42="最终结果/万元",C32,C33)</f>
        <v>491267</v>
      </c>
      <c r="P43" s="2030"/>
      <c r="V43" s="2030"/>
    </row>
    <row r="44" spans="1:26" ht="30.75" thickBot="1">
      <c r="A44" s="3599" t="str">
        <f>IF(OR(项目基本情况!E8="抵押价格",项目基本情况!E8="已注销及未注销"),"3.抵押价格","——")</f>
        <v>——</v>
      </c>
      <c r="B44" s="3600"/>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536925</v>
      </c>
      <c r="M44" s="1280">
        <f>D18</f>
        <v>0.5</v>
      </c>
      <c r="N44" s="1281"/>
      <c r="O44" s="1282"/>
      <c r="P44" s="2030"/>
      <c r="V44" s="2030"/>
    </row>
    <row r="45" spans="1:26" ht="15">
      <c r="A45" s="3605" t="str">
        <f>IF(项目基本情况!E8="已注销及未注销","4.抵押担保权已注销时的抵押价格",IF(项目基本情况!E8="已注销","3.抵押担保权已注销时的抵押价格","——"))</f>
        <v>——</v>
      </c>
      <c r="B45" s="360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01" t="str">
        <f>IF(项目基本情况!E9="抵押净值",IF(A45="——","4.抵押净值","5.抵押净值"),"——")</f>
        <v>——</v>
      </c>
      <c r="B46" s="360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364</v>
      </c>
      <c r="B47" s="1283"/>
      <c r="C47" s="322" t="s">
        <v>365</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366</v>
      </c>
      <c r="G53" s="337"/>
      <c r="H53" s="337"/>
      <c r="I53" s="338" t="s">
        <v>367</v>
      </c>
      <c r="J53" s="2033"/>
      <c r="K53" s="2030"/>
      <c r="L53" s="2030"/>
      <c r="M53" s="2030"/>
      <c r="N53" s="2030"/>
      <c r="O53" s="2030"/>
      <c r="P53" s="2030"/>
      <c r="Q53" s="2030"/>
      <c r="R53" s="2030"/>
      <c r="S53" s="2030"/>
      <c r="T53" s="2030"/>
      <c r="U53" s="2030"/>
      <c r="V53" s="2030"/>
    </row>
    <row r="54" spans="1:22" ht="12.75">
      <c r="A54" s="257"/>
      <c r="B54" s="339" t="s">
        <v>368</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369</v>
      </c>
      <c r="J56" s="2033"/>
      <c r="K56" s="2030"/>
      <c r="L56" s="2030"/>
      <c r="M56" s="2030"/>
      <c r="N56" s="2030"/>
      <c r="O56" s="2030"/>
      <c r="P56" s="2030"/>
      <c r="Q56" s="2030"/>
      <c r="R56" s="2030"/>
      <c r="S56" s="2030"/>
      <c r="T56" s="2030"/>
      <c r="U56" s="2030"/>
      <c r="V56" s="2030"/>
    </row>
    <row r="57" spans="1:22" ht="12.75">
      <c r="A57" s="257"/>
      <c r="B57" s="339" t="s">
        <v>370</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369</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371</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46" t="s">
        <v>372</v>
      </c>
      <c r="B63" s="3647"/>
      <c r="C63" s="3648"/>
      <c r="D63" s="341">
        <f ca="1">ROUND(C42*F63,0)</f>
        <v>294760</v>
      </c>
      <c r="E63" s="302" t="s">
        <v>373</v>
      </c>
      <c r="F63" s="342">
        <v>0.6</v>
      </c>
      <c r="G63" s="343" t="s">
        <v>374</v>
      </c>
      <c r="H63" s="311"/>
      <c r="I63" s="311"/>
      <c r="J63" s="2030"/>
      <c r="K63" s="2030"/>
      <c r="L63" s="2030"/>
      <c r="M63" s="2030"/>
      <c r="N63" s="2030"/>
      <c r="O63" s="2030"/>
      <c r="P63" s="311"/>
      <c r="Q63" s="2030"/>
      <c r="R63" s="2030"/>
      <c r="S63" s="2030"/>
      <c r="T63" s="2030"/>
      <c r="U63" s="2030"/>
      <c r="V63" s="2030"/>
    </row>
    <row r="64" spans="1:22" ht="14.25" customHeight="1">
      <c r="A64" s="3607" t="s">
        <v>376</v>
      </c>
      <c r="B64" s="3608"/>
      <c r="C64" s="3608"/>
      <c r="D64" s="3608"/>
      <c r="E64" s="3608"/>
      <c r="F64" s="3608"/>
      <c r="G64" s="3609"/>
      <c r="H64" s="1288"/>
      <c r="I64" s="948"/>
      <c r="J64" s="1992"/>
      <c r="K64" s="1562" t="s">
        <v>375</v>
      </c>
      <c r="L64" s="11"/>
      <c r="M64" s="11"/>
      <c r="N64" s="11"/>
      <c r="O64" s="11"/>
      <c r="P64" s="311"/>
      <c r="Q64" s="2030"/>
      <c r="R64" s="2030"/>
      <c r="S64" s="2030"/>
      <c r="T64" s="2030"/>
      <c r="U64" s="2030"/>
      <c r="V64" s="2030"/>
    </row>
    <row r="65" spans="1:22" ht="12" customHeight="1">
      <c r="A65" s="344" t="s">
        <v>378</v>
      </c>
      <c r="B65" s="345"/>
      <c r="C65" s="346"/>
      <c r="D65" s="347" t="s">
        <v>379</v>
      </c>
      <c r="E65" s="53" t="s">
        <v>380</v>
      </c>
      <c r="F65" s="348" t="s">
        <v>381</v>
      </c>
      <c r="G65" s="349" t="s">
        <v>382</v>
      </c>
      <c r="H65" s="1288"/>
      <c r="I65" s="948"/>
      <c r="J65" s="1992"/>
      <c r="K65" s="1289"/>
      <c r="L65" s="1290"/>
      <c r="M65" s="1290"/>
      <c r="N65" s="1322" t="s">
        <v>377</v>
      </c>
      <c r="O65" s="1323"/>
      <c r="P65" s="1324"/>
      <c r="Q65" s="2030"/>
      <c r="R65" s="2030"/>
      <c r="S65" s="2030"/>
      <c r="T65" s="2030"/>
      <c r="U65" s="2030"/>
      <c r="V65" s="2030"/>
    </row>
    <row r="66" spans="1:22" ht="25.5">
      <c r="A66" s="3603" t="s">
        <v>384</v>
      </c>
      <c r="B66" s="3604"/>
      <c r="C66" s="3604"/>
      <c r="D66" s="261">
        <f ca="1">IF(H66="情况1",0,IF(H66="情况2",D70,IF(H66="情况3",D71,IF(H66="情况4",D72))))</f>
        <v>15721</v>
      </c>
      <c r="E66" s="993" t="str">
        <f>IF(H66="情况4","(销售额-原购置价)×税（费）率","销售额×税（费）率")</f>
        <v>销售额×税（费）率</v>
      </c>
      <c r="F66" s="350">
        <f>IF(H66="情况1","免征",'数据-取费表'!B41)</f>
        <v>5.6000000000000001E-2</v>
      </c>
      <c r="G66" s="351" t="s">
        <v>385</v>
      </c>
      <c r="H66" s="191" t="s">
        <v>386</v>
      </c>
      <c r="I66" s="1288"/>
      <c r="J66" s="2036"/>
      <c r="K66" s="1291">
        <v>1</v>
      </c>
      <c r="L66" s="3661" t="s">
        <v>383</v>
      </c>
      <c r="M66" s="3662"/>
      <c r="N66" s="2484"/>
      <c r="O66" s="2485"/>
      <c r="P66" s="2486"/>
      <c r="Q66" s="2030"/>
      <c r="R66" s="2030"/>
      <c r="S66" s="2030"/>
      <c r="T66" s="2030"/>
      <c r="U66" s="2030"/>
      <c r="V66" s="2030"/>
    </row>
    <row r="67" spans="1:22" ht="25.5" customHeight="1">
      <c r="A67" s="352" t="s">
        <v>388</v>
      </c>
      <c r="B67" s="3594" t="s">
        <v>389</v>
      </c>
      <c r="C67" s="3594"/>
      <c r="D67" s="353">
        <v>0</v>
      </c>
      <c r="E67" s="41" t="s">
        <v>390</v>
      </c>
      <c r="F67" s="62" t="s">
        <v>21</v>
      </c>
      <c r="G67" s="3649"/>
      <c r="H67" s="311"/>
      <c r="I67" s="1292"/>
      <c r="J67" s="2037"/>
      <c r="K67" s="1978">
        <v>2</v>
      </c>
      <c r="L67" s="3660" t="s">
        <v>387</v>
      </c>
      <c r="M67" s="3660"/>
      <c r="N67" s="1325">
        <f>'数据-取费表'!B2</f>
        <v>43166</v>
      </c>
      <c r="O67" s="1325"/>
      <c r="P67" s="1325"/>
      <c r="Q67" s="2030"/>
      <c r="R67" s="2030"/>
      <c r="S67" s="2030"/>
      <c r="T67" s="2030"/>
      <c r="U67" s="2030"/>
      <c r="V67" s="2030"/>
    </row>
    <row r="68" spans="1:22" ht="25.5" customHeight="1">
      <c r="A68" s="354"/>
      <c r="B68" s="3594" t="s">
        <v>392</v>
      </c>
      <c r="C68" s="3594"/>
      <c r="D68" s="355"/>
      <c r="E68" s="77"/>
      <c r="F68" s="356"/>
      <c r="G68" s="3650"/>
      <c r="H68" s="311"/>
      <c r="I68" s="1292"/>
      <c r="J68" s="2037"/>
      <c r="K68" s="1978">
        <v>3</v>
      </c>
      <c r="L68" s="3660" t="s">
        <v>391</v>
      </c>
      <c r="M68" s="3660"/>
      <c r="N68" s="1293">
        <f ca="1">C42</f>
        <v>491267</v>
      </c>
      <c r="O68" s="1293"/>
      <c r="P68" s="1293"/>
      <c r="Q68" s="2030"/>
      <c r="R68" s="2030"/>
      <c r="S68" s="2030"/>
      <c r="T68" s="2030"/>
      <c r="U68" s="2030"/>
      <c r="V68" s="2030"/>
    </row>
    <row r="69" spans="1:22" ht="12" customHeight="1">
      <c r="A69" s="357"/>
      <c r="B69" s="3594" t="s">
        <v>393</v>
      </c>
      <c r="C69" s="3594"/>
      <c r="D69" s="358"/>
      <c r="E69" s="73"/>
      <c r="F69" s="356"/>
      <c r="G69" s="3651"/>
      <c r="H69" s="311"/>
      <c r="I69" s="1292"/>
      <c r="J69" s="2037"/>
      <c r="K69" s="1294">
        <v>4</v>
      </c>
      <c r="L69" s="3665" t="s">
        <v>2885</v>
      </c>
      <c r="M69" s="3666"/>
      <c r="N69" s="1295" t="str">
        <f>C44</f>
        <v>——</v>
      </c>
      <c r="O69" s="1295"/>
      <c r="P69" s="1295"/>
      <c r="Q69" s="2030"/>
      <c r="R69" s="2030"/>
      <c r="S69" s="2030"/>
      <c r="T69" s="2030"/>
      <c r="U69" s="2030"/>
      <c r="V69" s="2030"/>
    </row>
    <row r="70" spans="1:22" ht="24" customHeight="1">
      <c r="A70" s="359" t="s">
        <v>394</v>
      </c>
      <c r="B70" s="3594" t="s">
        <v>395</v>
      </c>
      <c r="C70" s="3594"/>
      <c r="D70" s="358">
        <f ca="1">ROUND(D63*'数据-取费表'!B41/(1+'数据-取费表'!C42),0)</f>
        <v>15721</v>
      </c>
      <c r="E70" s="17" t="s">
        <v>396</v>
      </c>
      <c r="F70" s="360">
        <f>'数据-取费表'!B41</f>
        <v>5.6000000000000001E-2</v>
      </c>
      <c r="G70" s="361"/>
      <c r="H70" s="311"/>
      <c r="I70" s="1292"/>
      <c r="J70" s="2037"/>
      <c r="K70" s="3089"/>
      <c r="L70" s="3090"/>
      <c r="M70" s="3090"/>
      <c r="N70" s="3091" t="s">
        <v>2890</v>
      </c>
      <c r="O70" s="3090"/>
      <c r="P70" s="3092"/>
      <c r="Q70" s="2030"/>
      <c r="R70" s="2030"/>
      <c r="S70" s="2030"/>
      <c r="T70" s="2030"/>
      <c r="U70" s="2030"/>
      <c r="V70" s="2030"/>
    </row>
    <row r="71" spans="1:22" ht="12" customHeight="1">
      <c r="A71" s="359" t="s">
        <v>402</v>
      </c>
      <c r="B71" s="3595" t="s">
        <v>403</v>
      </c>
      <c r="C71" s="3596"/>
      <c r="D71" s="358">
        <f ca="1">ROUND(D63*'数据-取费表'!B41/(1+'数据-取费表'!C42),0)</f>
        <v>15721</v>
      </c>
      <c r="E71" s="17" t="s">
        <v>396</v>
      </c>
      <c r="F71" s="360">
        <f>'数据-取费表'!B41</f>
        <v>5.6000000000000001E-2</v>
      </c>
      <c r="G71" s="361"/>
      <c r="H71" s="311"/>
      <c r="I71" s="1292"/>
      <c r="J71" s="2037"/>
      <c r="K71" s="3088" t="s">
        <v>397</v>
      </c>
      <c r="L71" s="3667" t="s">
        <v>398</v>
      </c>
      <c r="M71" s="3667"/>
      <c r="N71" s="3088" t="s">
        <v>399</v>
      </c>
      <c r="O71" s="3088" t="s">
        <v>400</v>
      </c>
      <c r="P71" s="3088" t="s">
        <v>401</v>
      </c>
      <c r="Q71" s="2030"/>
      <c r="R71" s="2030"/>
      <c r="S71" s="2030"/>
      <c r="T71" s="2030"/>
      <c r="U71" s="2030"/>
      <c r="V71" s="2030"/>
    </row>
    <row r="72" spans="1:22" ht="12" customHeight="1">
      <c r="A72" s="359" t="s">
        <v>405</v>
      </c>
      <c r="B72" s="3595" t="s">
        <v>406</v>
      </c>
      <c r="C72" s="3596"/>
      <c r="D72" s="358">
        <f ca="1">C86</f>
        <v>15609</v>
      </c>
      <c r="E72" s="73" t="s">
        <v>407</v>
      </c>
      <c r="F72" s="360">
        <f>'数据-取费表'!B41</f>
        <v>5.6000000000000001E-2</v>
      </c>
      <c r="G72" s="361"/>
      <c r="H72" s="1298"/>
      <c r="I72" s="1292"/>
      <c r="J72" s="2037"/>
      <c r="K72" s="1978">
        <v>1</v>
      </c>
      <c r="L72" s="3642" t="s">
        <v>404</v>
      </c>
      <c r="M72" s="3642"/>
      <c r="N72" s="1296">
        <f ca="1">D66</f>
        <v>15721</v>
      </c>
      <c r="O72" s="1861" t="str">
        <f>E66</f>
        <v>销售额×税（费）率</v>
      </c>
      <c r="P72" s="1297">
        <f>F66</f>
        <v>5.6000000000000001E-2</v>
      </c>
      <c r="Q72" s="2030"/>
      <c r="R72" s="2030"/>
      <c r="S72" s="2030"/>
      <c r="T72" s="2030"/>
      <c r="U72" s="2030"/>
      <c r="V72" s="2030"/>
    </row>
    <row r="73" spans="1:22" ht="24" customHeight="1">
      <c r="A73" s="3636" t="s">
        <v>409</v>
      </c>
      <c r="B73" s="3604"/>
      <c r="C73" s="3604"/>
      <c r="D73" s="362">
        <f>IF(H73="个人住宅",0,ROUND(D63*I73,0))</f>
        <v>0</v>
      </c>
      <c r="E73" s="17" t="s">
        <v>410</v>
      </c>
      <c r="F73" s="360" t="str">
        <f>IF(H73="正常",I73,"免征")</f>
        <v>免征</v>
      </c>
      <c r="G73" s="361"/>
      <c r="H73" s="191" t="s">
        <v>2456</v>
      </c>
      <c r="I73" s="360">
        <f>'数据-取费表'!B49</f>
        <v>5.0000000000000001E-4</v>
      </c>
      <c r="J73" s="2037"/>
      <c r="K73" s="1978">
        <v>2</v>
      </c>
      <c r="L73" s="3642" t="s">
        <v>408</v>
      </c>
      <c r="M73" s="3642"/>
      <c r="N73" s="1296">
        <f t="shared" ref="N73:P74" si="1">D73</f>
        <v>0</v>
      </c>
      <c r="O73" s="1861" t="str">
        <f t="shared" si="1"/>
        <v>销售额×税（费）率</v>
      </c>
      <c r="P73" s="1297" t="str">
        <f t="shared" si="1"/>
        <v>免征</v>
      </c>
      <c r="Q73" s="2030"/>
      <c r="R73" s="2030"/>
      <c r="S73" s="2030"/>
      <c r="T73" s="2030"/>
      <c r="U73" s="2030"/>
      <c r="V73" s="2030"/>
    </row>
    <row r="74" spans="1:22" ht="24.75">
      <c r="A74" s="3636" t="s">
        <v>413</v>
      </c>
      <c r="B74" s="3604"/>
      <c r="C74" s="3604"/>
      <c r="D74" s="362">
        <f ca="1">IF(H74="个人住宅",D75,D76)</f>
        <v>166179</v>
      </c>
      <c r="E74" s="17" t="s">
        <v>414</v>
      </c>
      <c r="F74" s="360" t="str">
        <f>IF(H74="正常",F76,"免征")</f>
        <v>——</v>
      </c>
      <c r="G74" s="983" t="s">
        <v>415</v>
      </c>
      <c r="H74" s="363" t="s">
        <v>411</v>
      </c>
      <c r="I74" s="42"/>
      <c r="J74" s="2037"/>
      <c r="K74" s="1978">
        <v>3</v>
      </c>
      <c r="L74" s="3642" t="s">
        <v>412</v>
      </c>
      <c r="M74" s="3642"/>
      <c r="N74" s="1296">
        <f t="shared" ca="1" si="1"/>
        <v>166179</v>
      </c>
      <c r="O74" s="1861" t="str">
        <f t="shared" si="1"/>
        <v>增值额×税（费）率</v>
      </c>
      <c r="P74" s="1299" t="str">
        <f t="shared" si="1"/>
        <v>——</v>
      </c>
      <c r="Q74" s="2030"/>
      <c r="R74" s="2030"/>
      <c r="S74" s="2030"/>
      <c r="T74" s="2030"/>
      <c r="U74" s="2030"/>
      <c r="V74" s="2030"/>
    </row>
    <row r="75" spans="1:22" ht="24">
      <c r="A75" s="359" t="s">
        <v>416</v>
      </c>
      <c r="B75" s="3592" t="s">
        <v>417</v>
      </c>
      <c r="C75" s="3622"/>
      <c r="D75" s="364">
        <v>0</v>
      </c>
      <c r="E75" s="41" t="s">
        <v>418</v>
      </c>
      <c r="F75" s="365"/>
      <c r="G75" s="361"/>
      <c r="H75" s="42"/>
      <c r="I75" s="42"/>
      <c r="J75" s="2037"/>
      <c r="K75" s="3081">
        <f>IF(H77="非个人房产","",4)</f>
        <v>4</v>
      </c>
      <c r="L75" s="3642" t="str">
        <f>IF(H77="非个人房产","——","个人所得税")</f>
        <v>个人所得税</v>
      </c>
      <c r="M75" s="3642"/>
      <c r="N75" s="1300">
        <f ca="1">D77</f>
        <v>2948</v>
      </c>
      <c r="O75" s="1874" t="str">
        <f>E77</f>
        <v>销售额×税（费）率</v>
      </c>
      <c r="P75" s="1301">
        <f>F77</f>
        <v>0.01</v>
      </c>
      <c r="Q75" s="2030"/>
      <c r="R75" s="2030"/>
      <c r="S75" s="2030"/>
      <c r="T75" s="2030"/>
      <c r="U75" s="2030"/>
      <c r="V75" s="2030"/>
    </row>
    <row r="76" spans="1:22" ht="24.75">
      <c r="A76" s="359" t="s">
        <v>394</v>
      </c>
      <c r="B76" s="3592" t="s">
        <v>420</v>
      </c>
      <c r="C76" s="3593"/>
      <c r="D76" s="362">
        <f ca="1">IF(H76="转让取得",C99,C115)</f>
        <v>166179</v>
      </c>
      <c r="E76" s="17" t="s">
        <v>421</v>
      </c>
      <c r="F76" s="53" t="s">
        <v>21</v>
      </c>
      <c r="G76" s="361"/>
      <c r="H76" s="363" t="s">
        <v>422</v>
      </c>
      <c r="I76" s="42"/>
      <c r="J76" s="2037"/>
      <c r="K76" s="3081" t="str">
        <f>IF(项目基本情况!K6="上海银行",IF(K75="",4,K75+1),"")</f>
        <v/>
      </c>
      <c r="L76" s="3653" t="str">
        <f>IF(项目基本情况!K6="上海银行","其他处置费用","")</f>
        <v/>
      </c>
      <c r="M76" s="3654"/>
      <c r="N76" s="1296" t="str">
        <f>IF(项目基本情况!K6="上海银行",N89,"")</f>
        <v/>
      </c>
      <c r="O76" s="3655" t="str">
        <f>IF(项目基本情况!K6="上海银行","包含处置中涉及的律师、诉讼、拍卖、评估等费用","")</f>
        <v/>
      </c>
      <c r="P76" s="3656"/>
      <c r="Q76" s="2030"/>
      <c r="R76" s="2030"/>
      <c r="S76" s="2030"/>
      <c r="T76" s="2030"/>
      <c r="U76" s="2030"/>
      <c r="V76" s="2030"/>
    </row>
    <row r="77" spans="1:22" ht="26.25" thickBot="1">
      <c r="A77" s="3644" t="s">
        <v>424</v>
      </c>
      <c r="B77" s="3645"/>
      <c r="C77" s="3645"/>
      <c r="D77" s="366">
        <f ca="1">IF(H77="非个人房产","——",IF(H77="个人住宅",0,ROUND(D63*I77,0)))</f>
        <v>2948</v>
      </c>
      <c r="E77" s="367" t="str">
        <f>IF(H77="非个人房产","——","销售额×税（费）率")</f>
        <v>销售额×税（费）率</v>
      </c>
      <c r="F77" s="368">
        <f>IF(H77="非个人房产","——",IF(H77="个人住宅","免征",I77))</f>
        <v>0.01</v>
      </c>
      <c r="G77" s="984" t="s">
        <v>415</v>
      </c>
      <c r="H77" s="363" t="s">
        <v>2886</v>
      </c>
      <c r="I77" s="369">
        <v>0.01</v>
      </c>
      <c r="J77" s="2037"/>
      <c r="K77" s="3643">
        <f>IF(AND(K75="",K76=""),4,IF(项目基本情况!K6="上海银行",K76+1,K75+1))</f>
        <v>5</v>
      </c>
      <c r="L77" s="3642" t="s">
        <v>2887</v>
      </c>
      <c r="M77" s="3087" t="s">
        <v>419</v>
      </c>
      <c r="N77" s="1302"/>
      <c r="O77" s="1303">
        <f ca="1">SUMIF(N72:N76,"&lt;9e307")</f>
        <v>184848</v>
      </c>
      <c r="P77" s="1304"/>
      <c r="Q77" s="3085" t="e">
        <f ca="1">O77/N69</f>
        <v>#VALUE!</v>
      </c>
      <c r="R77" s="2030"/>
      <c r="S77" s="2030"/>
      <c r="T77" s="2030"/>
      <c r="U77" s="2030"/>
      <c r="V77" s="2030"/>
    </row>
    <row r="78" spans="1:22" ht="12" customHeight="1">
      <c r="A78" s="1305"/>
      <c r="B78" s="311"/>
      <c r="C78" s="311"/>
      <c r="D78" s="311"/>
      <c r="E78" s="42"/>
      <c r="F78" s="42"/>
      <c r="G78" s="42"/>
      <c r="H78" s="1003"/>
      <c r="I78" s="311"/>
      <c r="J78" s="2037"/>
      <c r="K78" s="3643"/>
      <c r="L78" s="3642"/>
      <c r="M78" s="3087" t="s">
        <v>423</v>
      </c>
      <c r="N78" s="1302"/>
      <c r="O78" s="1303" t="str">
        <f ca="1">NUMBERSTRING(INT(O77*10000),2)&amp;"元整"</f>
        <v>壹拾捌亿肆仟捌佰肆拾捌万元整</v>
      </c>
      <c r="P78" s="1304"/>
      <c r="Q78" s="2030"/>
      <c r="R78" s="2030"/>
      <c r="S78" s="2030"/>
      <c r="T78" s="2030"/>
      <c r="U78" s="2030"/>
      <c r="V78" s="2030"/>
    </row>
    <row r="79" spans="1:22" ht="13.5" thickBot="1">
      <c r="A79" s="3637" t="s">
        <v>425</v>
      </c>
      <c r="B79" s="3637"/>
      <c r="C79" s="3637"/>
      <c r="D79" s="3637"/>
      <c r="E79" s="3637"/>
      <c r="F79" s="42"/>
      <c r="G79" s="42"/>
      <c r="H79" s="1003"/>
      <c r="I79" s="311"/>
      <c r="J79" s="2037"/>
      <c r="K79" s="3663">
        <f>K77+1</f>
        <v>6</v>
      </c>
      <c r="L79" s="3642" t="s">
        <v>2888</v>
      </c>
      <c r="M79" s="3087" t="s">
        <v>419</v>
      </c>
      <c r="N79" s="1302"/>
      <c r="O79" s="1303" t="e">
        <f ca="1">N69-O77</f>
        <v>#VALUE!</v>
      </c>
      <c r="P79" s="1304"/>
      <c r="Q79" s="2030"/>
      <c r="R79" s="2030"/>
      <c r="S79" s="2030"/>
      <c r="T79" s="2030"/>
      <c r="U79" s="2030"/>
      <c r="V79" s="2030"/>
    </row>
    <row r="80" spans="1:22" ht="12.75">
      <c r="A80" s="3632" t="s">
        <v>426</v>
      </c>
      <c r="B80" s="3633"/>
      <c r="C80" s="994"/>
      <c r="D80" s="994" t="s">
        <v>427</v>
      </c>
      <c r="E80" s="370" t="s">
        <v>428</v>
      </c>
      <c r="F80" s="42"/>
      <c r="G80" s="42"/>
      <c r="H80" s="1003"/>
      <c r="I80" s="311"/>
      <c r="J80" s="2030"/>
      <c r="K80" s="3664"/>
      <c r="L80" s="3642"/>
      <c r="M80" s="3087" t="s">
        <v>423</v>
      </c>
      <c r="N80" s="1302"/>
      <c r="O80" s="1303" t="e">
        <f ca="1">NUMBERSTRING(INT(O79*10000),2)&amp;"元整"</f>
        <v>#VALUE!</v>
      </c>
      <c r="P80" s="1304"/>
      <c r="Q80" s="2030"/>
      <c r="R80" s="2030"/>
      <c r="S80" s="2030"/>
      <c r="T80" s="2030"/>
      <c r="U80" s="2030"/>
      <c r="V80" s="2030"/>
    </row>
    <row r="81" spans="1:26" ht="13.5" thickBot="1">
      <c r="A81" s="381" t="s">
        <v>1823</v>
      </c>
      <c r="B81" s="371" t="s">
        <v>429</v>
      </c>
      <c r="C81" s="372">
        <f ca="1">ROUND((C82+C83)/(1+'数据-取费表'!C42),0)</f>
        <v>280724</v>
      </c>
      <c r="D81" s="373"/>
      <c r="E81" s="374"/>
      <c r="F81" s="42"/>
      <c r="G81" s="42"/>
      <c r="H81" s="1003"/>
      <c r="I81" s="311"/>
      <c r="J81" s="2030"/>
      <c r="K81" s="3081">
        <f>K79+1</f>
        <v>7</v>
      </c>
      <c r="L81" s="3640" t="s">
        <v>2889</v>
      </c>
      <c r="M81" s="3641"/>
      <c r="N81" s="1306"/>
      <c r="O81" s="1307" t="e">
        <f ca="1">ROUND(O79*10000/'数据-汇总表'!E3,0)</f>
        <v>#VALUE!</v>
      </c>
      <c r="P81" s="1308"/>
      <c r="Q81" s="2030"/>
      <c r="R81" s="2030"/>
      <c r="S81" s="2030"/>
      <c r="T81" s="2030"/>
      <c r="U81" s="2030"/>
      <c r="V81" s="2030"/>
    </row>
    <row r="82" spans="1:26" ht="13.5" thickTop="1">
      <c r="A82" s="375" t="s">
        <v>1824</v>
      </c>
      <c r="B82" s="376" t="s">
        <v>430</v>
      </c>
      <c r="C82" s="377">
        <f ca="1">D63</f>
        <v>294760</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431</v>
      </c>
      <c r="C83" s="380">
        <v>0</v>
      </c>
      <c r="D83" s="378"/>
      <c r="E83" s="379"/>
      <c r="F83" s="42"/>
      <c r="G83" s="42"/>
      <c r="H83" s="1003"/>
      <c r="I83" s="311"/>
      <c r="J83" s="2030"/>
      <c r="K83" s="3652" t="s">
        <v>2876</v>
      </c>
      <c r="L83" s="3093" t="s">
        <v>2877</v>
      </c>
      <c r="M83" s="3083" t="e">
        <f>IF(N69&gt;10000,N69*0.5%,IF(AND(N69&gt;1000,N69&lt;=10000),N69*1%,IF(AND(N69&gt;100,N69&lt;=1000),N69*3%,IF(AND(N69&gt;10,N69&lt;=100),N69*5%,N69*8%))))</f>
        <v>#VALUE!</v>
      </c>
      <c r="N83" s="53" t="e">
        <f>ROUND(M83,1)</f>
        <v>#VALUE!</v>
      </c>
      <c r="O83" s="3086"/>
      <c r="P83" s="2030"/>
      <c r="Q83" s="2030"/>
      <c r="R83" s="2030"/>
      <c r="S83" s="2030"/>
      <c r="T83" s="2030"/>
      <c r="U83" s="2030"/>
      <c r="V83" s="2030"/>
    </row>
    <row r="84" spans="1:26" ht="12.75">
      <c r="A84" s="381" t="s">
        <v>1826</v>
      </c>
      <c r="B84" s="382" t="s">
        <v>432</v>
      </c>
      <c r="C84" s="383">
        <v>2000</v>
      </c>
      <c r="D84" s="384" t="s">
        <v>19</v>
      </c>
      <c r="E84" s="3128" t="s">
        <v>2943</v>
      </c>
      <c r="F84" s="42"/>
      <c r="G84" s="42"/>
      <c r="H84" s="1003"/>
      <c r="I84" s="311"/>
      <c r="J84" s="2030"/>
      <c r="K84" s="3652"/>
      <c r="L84" s="3093" t="s">
        <v>2878</v>
      </c>
      <c r="M84" s="308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2879</v>
      </c>
      <c r="P84" s="2030"/>
      <c r="Q84" s="2030"/>
      <c r="R84" s="2030"/>
      <c r="S84" s="2030"/>
      <c r="T84" s="2030"/>
      <c r="U84" s="2030"/>
      <c r="V84" s="2030"/>
    </row>
    <row r="85" spans="1:26" ht="12.75">
      <c r="A85" s="381" t="s">
        <v>1827</v>
      </c>
      <c r="B85" s="382" t="s">
        <v>433</v>
      </c>
      <c r="C85" s="385">
        <f ca="1">C81-C84</f>
        <v>278724</v>
      </c>
      <c r="D85" s="378" t="s">
        <v>19</v>
      </c>
      <c r="E85" s="379"/>
      <c r="F85" s="42"/>
      <c r="G85" s="42"/>
      <c r="H85" s="1003"/>
      <c r="I85" s="311"/>
      <c r="J85" s="2030"/>
      <c r="K85" s="3652"/>
      <c r="L85" s="3093" t="s">
        <v>2880</v>
      </c>
      <c r="M85" s="3083" t="e">
        <f>IF(N69&gt;1000,N69*0.1%,IF(AND(N69&gt;500,N69&lt;=1000),N69*0.5%,IF(AND(N69&gt;50,N69&lt;=500),N69*1%,IF(AND(N69&gt;1,N69&lt;=50),N69*1.5%))))</f>
        <v>#VALUE!</v>
      </c>
      <c r="N85" s="53" t="e">
        <f t="shared" si="2"/>
        <v>#VALUE!</v>
      </c>
      <c r="O85" s="2030" t="s">
        <v>2879</v>
      </c>
      <c r="P85" s="2030"/>
      <c r="Q85" s="2030"/>
      <c r="R85" s="2030"/>
      <c r="S85" s="2030"/>
      <c r="T85" s="2030"/>
      <c r="U85" s="2030"/>
      <c r="V85" s="2030"/>
    </row>
    <row r="86" spans="1:26" ht="13.5" thickBot="1">
      <c r="A86" s="386" t="s">
        <v>1828</v>
      </c>
      <c r="B86" s="387" t="s">
        <v>434</v>
      </c>
      <c r="C86" s="388">
        <f ca="1">IF(C85&lt;=0,0,ROUND(C85*D86,0))</f>
        <v>15609</v>
      </c>
      <c r="D86" s="389">
        <f>'数据-取费表'!B41</f>
        <v>5.6000000000000001E-2</v>
      </c>
      <c r="E86" s="390"/>
      <c r="F86" s="42"/>
      <c r="G86" s="42"/>
      <c r="H86" s="1003"/>
      <c r="I86" s="311"/>
      <c r="J86" s="2030"/>
      <c r="K86" s="3652"/>
      <c r="L86" s="3093" t="s">
        <v>2881</v>
      </c>
      <c r="M86" s="3083" t="e">
        <f>N69*0.5%</f>
        <v>#VALUE!</v>
      </c>
      <c r="N86" s="53" t="e">
        <f>IF(M86&gt;0.5,0.5,ROUND(M86,0))</f>
        <v>#VALUE!</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652"/>
      <c r="L87" s="3093" t="s">
        <v>2883</v>
      </c>
      <c r="M87" s="308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6"/>
      <c r="P87" s="311"/>
      <c r="Q87" s="2030"/>
      <c r="R87" s="2030"/>
      <c r="S87" s="2030"/>
      <c r="T87" s="2030"/>
      <c r="U87" s="2030"/>
      <c r="V87" s="2030"/>
      <c r="W87" s="292"/>
      <c r="X87" s="292"/>
      <c r="Y87" s="292"/>
      <c r="Z87" s="292"/>
    </row>
    <row r="88" spans="1:26" s="1314" customFormat="1" ht="15" thickBot="1">
      <c r="A88" s="3634" t="s">
        <v>435</v>
      </c>
      <c r="B88" s="3635"/>
      <c r="C88" s="3635"/>
      <c r="D88" s="3635"/>
      <c r="E88" s="3635"/>
      <c r="F88" s="3635"/>
      <c r="G88" s="3635"/>
      <c r="H88" s="3635"/>
      <c r="I88" s="1315"/>
      <c r="J88" s="2038"/>
      <c r="K88" s="3652"/>
      <c r="L88" s="3093" t="s">
        <v>2884</v>
      </c>
      <c r="M88" s="3083" t="e">
        <f>IF(N69&gt;10000,N69*0.5%,IF(AND(N69&gt;5000,N69&lt;=10000),N69*1%,IF(AND(N69&gt;1000,N69&lt;=5000),N69*2%,IF(AND(N69&gt;200,N69&lt;=1000),N69*3%,N69*5%))))</f>
        <v>#VALUE!</v>
      </c>
      <c r="N88" s="53" t="e">
        <f>ROUND(M88,1)</f>
        <v>#VALUE!</v>
      </c>
      <c r="O88" s="3086"/>
      <c r="P88" s="11"/>
      <c r="Q88" s="2035"/>
      <c r="R88" s="2035"/>
      <c r="S88" s="2035"/>
      <c r="T88" s="2035"/>
      <c r="U88" s="2035"/>
      <c r="V88" s="2035"/>
      <c r="W88" s="2039"/>
      <c r="X88" s="2039"/>
      <c r="Y88" s="2039"/>
      <c r="Z88" s="2039"/>
    </row>
    <row r="89" spans="1:26" s="1314" customFormat="1" ht="14.25">
      <c r="A89" s="3632" t="s">
        <v>426</v>
      </c>
      <c r="B89" s="3633"/>
      <c r="C89" s="994"/>
      <c r="D89" s="994" t="s">
        <v>427</v>
      </c>
      <c r="E89" s="391" t="s">
        <v>436</v>
      </c>
      <c r="F89" s="392"/>
      <c r="G89" s="392"/>
      <c r="H89" s="393"/>
      <c r="I89" s="1316"/>
      <c r="J89" s="2040"/>
      <c r="K89" s="3652"/>
      <c r="L89" s="3093" t="s">
        <v>27</v>
      </c>
      <c r="M89" s="3084"/>
      <c r="N89" s="53" t="e">
        <f>ROUND(SUM(N83:N88),0)</f>
        <v>#VALUE!</v>
      </c>
      <c r="O89" s="3094" t="e">
        <f>N89/N69</f>
        <v>#VALUE!</v>
      </c>
      <c r="P89" s="2035"/>
      <c r="Q89" s="2035"/>
      <c r="R89" s="2035"/>
      <c r="S89" s="2035"/>
      <c r="T89" s="2035"/>
      <c r="U89" s="2035"/>
      <c r="V89" s="2035"/>
      <c r="W89" s="2039"/>
      <c r="X89" s="2039"/>
      <c r="Y89" s="2039"/>
      <c r="Z89" s="2039"/>
    </row>
    <row r="90" spans="1:26" s="1314" customFormat="1" ht="14.25">
      <c r="A90" s="381" t="s">
        <v>1823</v>
      </c>
      <c r="B90" s="382" t="s">
        <v>437</v>
      </c>
      <c r="C90" s="385">
        <f ca="1">ROUND(D63/(1+'数据-取费表'!C42),0)</f>
        <v>280724</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438</v>
      </c>
      <c r="C91" s="385">
        <f ca="1">C92+C96</f>
        <v>4245</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439</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440</v>
      </c>
      <c r="C93" s="396">
        <v>2000</v>
      </c>
      <c r="D93" s="378" t="s">
        <v>19</v>
      </c>
      <c r="E93" s="397" t="s">
        <v>441</v>
      </c>
      <c r="F93" s="398" t="s">
        <v>442</v>
      </c>
      <c r="G93" s="397" t="s">
        <v>443</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444</v>
      </c>
      <c r="C94" s="378">
        <f>IF(F93="购房发票",ROUND(C93*H93*5%,0),0)</f>
        <v>500</v>
      </c>
      <c r="D94" s="401">
        <v>0.05</v>
      </c>
      <c r="E94" s="3595" t="s">
        <v>445</v>
      </c>
      <c r="F94" s="3594"/>
      <c r="G94" s="3594"/>
      <c r="H94" s="3631"/>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446</v>
      </c>
      <c r="C95" s="378">
        <f>ROUND(IF(G95="个人买卖住房",0,IF(G95="2016年5月1日前购买",C93*D95,C93*D95/(1+'数据-取费表'!C42))),0)</f>
        <v>61</v>
      </c>
      <c r="D95" s="402">
        <f>'数据-取费表'!B48+'数据-取费表'!B49</f>
        <v>3.0499999999999999E-2</v>
      </c>
      <c r="E95" s="26" t="s">
        <v>447</v>
      </c>
      <c r="F95" s="403"/>
      <c r="G95" s="404" t="s">
        <v>2429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448</v>
      </c>
      <c r="C96" s="405">
        <f ca="1">ROUND(D63*D96/(1+'数据-取费表'!C42),0)</f>
        <v>1684</v>
      </c>
      <c r="D96" s="406">
        <f>'数据-取费表'!B43</f>
        <v>6.000000000000001E-3</v>
      </c>
      <c r="E96" s="3623" t="s">
        <v>2428</v>
      </c>
      <c r="F96" s="3624"/>
      <c r="G96" s="3624"/>
      <c r="H96" s="3625"/>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449</v>
      </c>
      <c r="C97" s="385">
        <f ca="1">C90-C91</f>
        <v>276479</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450</v>
      </c>
      <c r="C98" s="407">
        <f ca="1">IF(C97&lt;=0,0,C97/C91)</f>
        <v>65.130506478209654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451</v>
      </c>
      <c r="C99" s="408">
        <f ca="1">ROUND(IF(C97&lt;=0,0,IF(C98&gt;=200%,C97*60%-C91*35%,IF(C98&gt;=100%,C97*50%-C91*15%,IF(C98&gt;=50%,C97*40%-C91*5%,IF(C98&lt;50%,C97*30%,0))))),0)</f>
        <v>164402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34" t="s">
        <v>452</v>
      </c>
      <c r="B101" s="3635"/>
      <c r="C101" s="3635"/>
      <c r="D101" s="3635"/>
      <c r="E101" s="3635"/>
      <c r="F101" s="3635"/>
      <c r="G101" s="3635"/>
      <c r="H101" s="3635"/>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32" t="s">
        <v>426</v>
      </c>
      <c r="B102" s="3633"/>
      <c r="C102" s="994"/>
      <c r="D102" s="994" t="s">
        <v>427</v>
      </c>
      <c r="E102" s="391" t="s">
        <v>436</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437</v>
      </c>
      <c r="C103" s="385">
        <f ca="1">ROUND(D63/(1+'数据-取费表'!C42),0)</f>
        <v>280724</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438</v>
      </c>
      <c r="C104" s="385">
        <f ca="1">IF(H106="仅含出让金",C105+C108+C109+C110+C111+C112,C105+C109+C110+C111+C112)</f>
        <v>2374</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453</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454</v>
      </c>
      <c r="C106" s="416">
        <v>555</v>
      </c>
      <c r="D106" s="406"/>
      <c r="E106" s="417" t="s">
        <v>455</v>
      </c>
      <c r="F106" s="986"/>
      <c r="G106" s="418" t="s">
        <v>456</v>
      </c>
      <c r="H106" s="419" t="s">
        <v>2439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446</v>
      </c>
      <c r="C107" s="405">
        <f>ROUND(C106*D107,0)</f>
        <v>17</v>
      </c>
      <c r="D107" s="406">
        <f>'数据-取费表'!B48+'数据-取费表'!B49</f>
        <v>3.0499999999999999E-2</v>
      </c>
      <c r="E107" s="417" t="s">
        <v>457</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458</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459</v>
      </c>
      <c r="C109" s="405">
        <f>IF(H109="——",IF(F1="现房",'剩余法-现房'!C18,'剩余法-待开发'!C18),I109)</f>
        <v>55</v>
      </c>
      <c r="D109" s="406"/>
      <c r="E109" s="3626" t="s">
        <v>460</v>
      </c>
      <c r="F109" s="3624"/>
      <c r="G109" s="3624"/>
      <c r="H109" s="1943" t="s">
        <v>2279</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461</v>
      </c>
      <c r="C110" s="405">
        <f>ROUND((C105+C108+C109)*D110,0)</f>
        <v>63</v>
      </c>
      <c r="D110" s="406">
        <v>0.1</v>
      </c>
      <c r="E110" s="3626" t="s">
        <v>462</v>
      </c>
      <c r="F110" s="3624"/>
      <c r="G110" s="3624"/>
      <c r="H110" s="3625"/>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448</v>
      </c>
      <c r="C111" s="405">
        <f ca="1">ROUND(D63*D111/(1+'数据-取费表'!C42),0)</f>
        <v>1684</v>
      </c>
      <c r="D111" s="406">
        <f>'数据-取费表'!B43</f>
        <v>6.000000000000001E-3</v>
      </c>
      <c r="E111" s="3623" t="s">
        <v>2428</v>
      </c>
      <c r="F111" s="3624"/>
      <c r="G111" s="3624"/>
      <c r="H111" s="3625"/>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463</v>
      </c>
      <c r="C112" s="405">
        <f>ROUND(C108*D112,0)</f>
        <v>0</v>
      </c>
      <c r="D112" s="406">
        <v>0.2</v>
      </c>
      <c r="E112" s="3626" t="s">
        <v>2453</v>
      </c>
      <c r="F112" s="3624"/>
      <c r="G112" s="3624"/>
      <c r="H112" s="3625"/>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449</v>
      </c>
      <c r="C113" s="385">
        <f ca="1">ROUND(C103-C104,0)</f>
        <v>278350</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450</v>
      </c>
      <c r="C114" s="407">
        <f ca="1">IF(C113&lt;=0,0,C113/C104)</f>
        <v>117.24936815501263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451</v>
      </c>
      <c r="C115" s="408">
        <f ca="1">ROUND(IF(C113&lt;=0,0,IF(C114&gt;=200%,C113*60%-C104*35%,IF(C114&gt;=100%,C113*50%-C104*15%,IF(C114&gt;=50%,C113*40%-C104*5%,IF(C114&lt;50%,C113*30%,0))))),0)</f>
        <v>166179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2658</v>
      </c>
      <c r="B1" s="2918" t="s">
        <v>2755</v>
      </c>
    </row>
    <row r="2" spans="1:55" s="2922" customFormat="1" ht="15" thickTop="1">
      <c r="A2" s="2920" t="s">
        <v>2662</v>
      </c>
      <c r="B2" s="2921" t="str">
        <f>'预评函-封皮'!B37</f>
        <v>北京市朝阳区京顺路来广营东路（雍景桃源一期）出让国有建设用地使用权抵押价格预评估</v>
      </c>
      <c r="AX2" s="2923"/>
      <c r="AZ2" s="2923"/>
      <c r="BA2" s="2924"/>
      <c r="BC2" s="2924"/>
    </row>
    <row r="3" spans="1:55" s="2925" customFormat="1">
      <c r="A3" s="2904" t="s">
        <v>2663</v>
      </c>
      <c r="B3" s="2907">
        <f>'预评函-封皮'!B40</f>
        <v>0</v>
      </c>
    </row>
    <row r="4" spans="1:55" s="2906" customFormat="1">
      <c r="A4" s="2904" t="s">
        <v>2664</v>
      </c>
      <c r="B4" s="2905" t="str">
        <f>'预评函-封皮'!B46</f>
        <v>欧红伟、梁津</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2665</v>
      </c>
      <c r="B5" s="2927" t="str">
        <f>'预评函-封皮'!B49</f>
        <v>康正预评字2018-1-0152-P01DYGJ1号</v>
      </c>
    </row>
    <row r="6" spans="1:55" s="2928" customFormat="1" ht="15" thickTop="1">
      <c r="A6" s="2920" t="s">
        <v>2707</v>
      </c>
      <c r="B6" s="2921" t="str">
        <f>'预评函-1'!A4</f>
        <v>受贵公司委托，我公司对北京市朝阳区京顺路来广营东路（雍景桃源一期）出让国有建设用地使用权抵押价格进行了预评估。</v>
      </c>
      <c r="AM6" s="2929"/>
    </row>
    <row r="7" spans="1:55" s="2903" customFormat="1">
      <c r="A7" s="2904" t="s">
        <v>2659</v>
      </c>
      <c r="B7" s="2905" t="str">
        <f>'预评函-1'!A6</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104884.85平方米。</v>
      </c>
    </row>
    <row r="8" spans="1:55" s="2903" customFormat="1">
      <c r="A8" s="2904" t="s">
        <v>2660</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2710</v>
      </c>
      <c r="B9" s="2905"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2661</v>
      </c>
      <c r="B10" s="2905" t="str">
        <f>'预评函-1'!A11</f>
        <v>2018年3月7日（评估专业人员勘察现场之日）</v>
      </c>
    </row>
    <row r="11" spans="1:55" s="2903" customFormat="1">
      <c r="A11" s="2904" t="s">
        <v>2667</v>
      </c>
      <c r="B11" s="2905" t="str">
        <f>'预评函-1'!A14</f>
        <v>根据《国有土地使用证》[]，本次评估估价对象证载（地类）用途为别墅式公寓、会所及其他配套设施。</v>
      </c>
    </row>
    <row r="12" spans="1:55" s="2903" customFormat="1">
      <c r="A12" s="2904" t="s">
        <v>2668</v>
      </c>
      <c r="B12" s="2905" t="str">
        <f>'预评函-1'!A15</f>
        <v>本次评估设定用途即为证载用途住宅。</v>
      </c>
    </row>
    <row r="13" spans="1:55" s="2903" customFormat="1">
      <c r="A13" s="2904" t="s">
        <v>2669</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2670</v>
      </c>
      <c r="B14" s="2905" t="str">
        <f>'预评函-1'!A18</f>
        <v>本次评估设定土地开发程度为红线外市政基础设施达“七通”、宗地红线内场地平整。</v>
      </c>
    </row>
    <row r="15" spans="1:55" s="2903" customFormat="1">
      <c r="A15" s="2904" t="s">
        <v>2666</v>
      </c>
      <c r="B15" s="2905" t="str">
        <f>'预评函-1'!A20</f>
        <v>根据《国有土地使用证》[京朝国用（2009出）第0475号]，估价对象（分摊）出让国有建设用地使用权面积为99890.33平方米。根据《面积说明》，估价对象规划建筑面积为104884.85平方米。</v>
      </c>
    </row>
    <row r="16" spans="1:55" s="2903" customFormat="1">
      <c r="A16" s="2904" t="s">
        <v>2671</v>
      </c>
      <c r="B16" s="2905" t="str">
        <f>'预评函-1'!A22</f>
        <v>本次估价对象为出让国有建设用地使用权，《国有土地使用证》[]证载土地终止日期为住宅2067年10月19日。截至估价期日，出让国有建设用地使用权剩余土地使用年限为。</v>
      </c>
    </row>
    <row r="17" spans="1:48" s="2903" customFormat="1">
      <c r="A17" s="2904" t="s">
        <v>2672</v>
      </c>
      <c r="B17" s="2905" t="str">
        <f>'预评函-1'!A23</f>
        <v>本次评估设定估价对象剩余土地使用年限为。</v>
      </c>
    </row>
    <row r="18" spans="1:48" s="2903" customFormat="1">
      <c r="A18" s="2904" t="s">
        <v>2673</v>
      </c>
      <c r="B18" s="2905" t="str">
        <f>'预评函-1'!A25</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19" spans="1:48" s="2903" customFormat="1">
      <c r="A19" s="2904" t="s">
        <v>2674</v>
      </c>
      <c r="B19" s="290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3" customFormat="1">
      <c r="A20" s="2904" t="s">
        <v>2675</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2676</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2677</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2678</v>
      </c>
      <c r="B23" s="2905" t="str">
        <f>'预评函-2'!K2</f>
        <v>估价期日：2018年3月7日</v>
      </c>
    </row>
    <row r="24" spans="1:48">
      <c r="A24" s="2904" t="s">
        <v>2679</v>
      </c>
      <c r="B24" s="2905" t="str">
        <f>'预评函-2'!R2</f>
        <v>估价期日的国有建设用地使用权性质：出让</v>
      </c>
    </row>
    <row r="25" spans="1:48">
      <c r="A25" s="2904" t="s">
        <v>2735</v>
      </c>
      <c r="B25" s="2905" t="str">
        <f>'预评函-2'!A3</f>
        <v>估价期日土地使用者</v>
      </c>
    </row>
    <row r="26" spans="1:48">
      <c r="A26" s="2904" t="s">
        <v>2711</v>
      </c>
      <c r="B26" s="2905" t="str">
        <f>'预评函-2'!A5</f>
        <v>中信开发</v>
      </c>
    </row>
    <row r="27" spans="1:48">
      <c r="A27" s="2904" t="s">
        <v>2736</v>
      </c>
      <c r="B27" s="2905" t="str">
        <f>'预评函-2'!B3</f>
        <v>宗地编号/不动产单元号</v>
      </c>
    </row>
    <row r="28" spans="1:48">
      <c r="A28" s="2904" t="s">
        <v>2712</v>
      </c>
      <c r="B28" s="2905" t="str">
        <f>'预评函-2'!B5</f>
        <v>11111111111</v>
      </c>
    </row>
    <row r="29" spans="1:48">
      <c r="A29" s="2904" t="s">
        <v>2738</v>
      </c>
      <c r="B29" s="2905">
        <f>'预评函-2'!C5</f>
        <v>22</v>
      </c>
    </row>
    <row r="30" spans="1:48">
      <c r="A30" s="2904" t="s">
        <v>2739</v>
      </c>
      <c r="B30" s="2905" t="str">
        <f>'预评函-2'!D3</f>
        <v>土地使用证编号/不动产权证书编号</v>
      </c>
    </row>
    <row r="31" spans="1:48">
      <c r="A31" s="2904" t="s">
        <v>2713</v>
      </c>
      <c r="B31" s="2905" t="str">
        <f>'预评函-2'!D5</f>
        <v>京国土字第111号</v>
      </c>
    </row>
    <row r="32" spans="1:48">
      <c r="A32" s="2904" t="s">
        <v>2714</v>
      </c>
      <c r="B32" s="2905" t="str">
        <f>'预评函-2'!E5</f>
        <v>别墅式公寓、会所及其他配套设施</v>
      </c>
      <c r="AV32" s="2909"/>
    </row>
    <row r="33" spans="1:2">
      <c r="A33" s="2904" t="s">
        <v>2715</v>
      </c>
      <c r="B33" s="2905">
        <f>'预评函-2'!F5</f>
        <v>258</v>
      </c>
    </row>
    <row r="34" spans="1:2">
      <c r="A34" s="2904" t="s">
        <v>2716</v>
      </c>
      <c r="B34" s="2905" t="str">
        <f>'预评函-2'!G5</f>
        <v>住宅</v>
      </c>
    </row>
    <row r="35" spans="1:2">
      <c r="A35" s="2904" t="s">
        <v>2717</v>
      </c>
      <c r="B35" s="2905">
        <f>'预评函-2'!H5</f>
        <v>1.5</v>
      </c>
    </row>
    <row r="36" spans="1:2">
      <c r="A36" s="2904" t="s">
        <v>2718</v>
      </c>
      <c r="B36" s="2905">
        <f>'预评函-2'!I5</f>
        <v>1.5</v>
      </c>
    </row>
    <row r="37" spans="1:2">
      <c r="A37" s="2904" t="s">
        <v>2719</v>
      </c>
      <c r="B37" s="2905">
        <f>'预评函-2'!J5</f>
        <v>1.5</v>
      </c>
    </row>
    <row r="38" spans="1:2">
      <c r="A38" s="2904" t="s">
        <v>2720</v>
      </c>
      <c r="B38" s="2905" t="str">
        <f>'预评函-2'!K5</f>
        <v>红线外七通、宗地红线内场地平整</v>
      </c>
    </row>
    <row r="39" spans="1:2">
      <c r="A39" s="2904" t="s">
        <v>2721</v>
      </c>
      <c r="B39" s="2905" t="str">
        <f>'预评函-2'!L5</f>
        <v>红线外七通、宗地红线内场地平整</v>
      </c>
    </row>
    <row r="40" spans="1:2">
      <c r="A40" s="2904" t="s">
        <v>2740</v>
      </c>
      <c r="B40" s="2905" t="str">
        <f>'预评函-2'!M3</f>
        <v>（剩余）土地使用年限/年</v>
      </c>
    </row>
    <row r="41" spans="1:2">
      <c r="A41" s="2904" t="s">
        <v>2722</v>
      </c>
      <c r="B41" s="2905">
        <f>'预评函-2'!M5</f>
        <v>0</v>
      </c>
    </row>
    <row r="42" spans="1:2">
      <c r="A42" s="2904" t="s">
        <v>2741</v>
      </c>
      <c r="B42" s="2905" t="str">
        <f>'预评函-2'!N3</f>
        <v>（分摊）出让国有建设用地使用权面积/㎡</v>
      </c>
    </row>
    <row r="43" spans="1:2">
      <c r="A43" s="2904" t="s">
        <v>2723</v>
      </c>
      <c r="B43" s="2905">
        <f>'预评函-2'!N5</f>
        <v>99890.33</v>
      </c>
    </row>
    <row r="44" spans="1:2">
      <c r="A44" s="2904" t="s">
        <v>2742</v>
      </c>
      <c r="B44" s="2905" t="str">
        <f>'预评函-2'!O3</f>
        <v>规划建筑面积/㎡</v>
      </c>
    </row>
    <row r="45" spans="1:2">
      <c r="A45" s="2904" t="s">
        <v>2724</v>
      </c>
      <c r="B45" s="2905">
        <f>'预评函-2'!O5</f>
        <v>104884.84999999999</v>
      </c>
    </row>
    <row r="46" spans="1:2">
      <c r="A46" s="2904" t="s">
        <v>2725</v>
      </c>
      <c r="B46" s="2905">
        <f ca="1">'预评函-2'!P5</f>
        <v>49181</v>
      </c>
    </row>
    <row r="47" spans="1:2">
      <c r="A47" s="2904" t="s">
        <v>2726</v>
      </c>
      <c r="B47" s="2905">
        <f ca="1">'预评函-2'!Q5</f>
        <v>46839</v>
      </c>
    </row>
    <row r="48" spans="1:2">
      <c r="A48" s="2904" t="s">
        <v>2727</v>
      </c>
      <c r="B48" s="2905">
        <f ca="1">'预评函-2'!R5</f>
        <v>491267</v>
      </c>
    </row>
    <row r="49" spans="1:2">
      <c r="A49" s="2904" t="s">
        <v>2743</v>
      </c>
      <c r="B49" s="2905" t="str">
        <f>'预评函-2'!A6</f>
        <v>抵押价格</v>
      </c>
    </row>
    <row r="50" spans="1:2">
      <c r="A50" s="2904" t="s">
        <v>2728</v>
      </c>
      <c r="B50" s="2905" t="str">
        <f>'预评函-2'!R6</f>
        <v>——</v>
      </c>
    </row>
    <row r="51" spans="1:2">
      <c r="A51" s="2904" t="s">
        <v>2744</v>
      </c>
      <c r="B51" s="2905" t="str">
        <f>'预评函-2'!A7</f>
        <v>——</v>
      </c>
    </row>
    <row r="52" spans="1:2">
      <c r="A52" s="2904" t="s">
        <v>2729</v>
      </c>
      <c r="B52" s="2905" t="str">
        <f>'预评函-2'!R7</f>
        <v>——</v>
      </c>
    </row>
    <row r="53" spans="1:2">
      <c r="A53" s="2904" t="s">
        <v>2745</v>
      </c>
      <c r="B53" s="2905">
        <f>'预评函-2'!A8</f>
        <v>0</v>
      </c>
    </row>
    <row r="54" spans="1:2" s="2919" customFormat="1" ht="15" thickBot="1">
      <c r="A54" s="2926" t="s">
        <v>2730</v>
      </c>
      <c r="B54" s="2927" t="str">
        <f>'预评函-2'!R8</f>
        <v>——</v>
      </c>
    </row>
    <row r="55" spans="1:2" ht="15" thickTop="1">
      <c r="A55" s="2915" t="s">
        <v>2680</v>
      </c>
      <c r="B55" s="2916" t="str">
        <f>'预评函-3'!A2</f>
        <v>1.权利限制：根据估价对象《国有土地使用权》复印件、，截至估价期日，估价对象抵押权未见登记。未设定租赁等其他他项权利。</v>
      </c>
    </row>
    <row r="56" spans="1:2">
      <c r="A56" s="2904" t="s">
        <v>2681</v>
      </c>
      <c r="B56" s="2905" t="str">
        <f>'预评函-3'!A3</f>
        <v>2.基础设施条件：估价对象实际开发程度为红线外七通、宗地红线内场地平整；本次评估设定开发程度为红线外七通、宗地红线内场地平整。</v>
      </c>
    </row>
    <row r="57" spans="1:2">
      <c r="A57" s="2904" t="s">
        <v>2682</v>
      </c>
      <c r="B57" s="2905" t="str">
        <f>'预评函-3'!A4</f>
        <v>3.估价规划限制条件：详见《面积说明》。</v>
      </c>
    </row>
    <row r="58" spans="1:2" s="2919" customFormat="1" ht="15" thickBot="1">
      <c r="A58" s="2926" t="s">
        <v>2731</v>
      </c>
      <c r="B58" s="2927" t="str">
        <f>'预评函-3'!A5</f>
        <v>4.影响价格的其他限定条件：无。</v>
      </c>
    </row>
    <row r="59" spans="1:2" ht="15" thickTop="1">
      <c r="A59" s="2915" t="s">
        <v>2683</v>
      </c>
      <c r="B59" s="2916" t="str">
        <f>'预评函-3'!A8</f>
        <v>2.本《评估意见函》仅供金融机构进行内部审核使用，不做其他目的之用。</v>
      </c>
    </row>
    <row r="60" spans="1:2">
      <c r="A60" s="2904" t="s">
        <v>2684</v>
      </c>
      <c r="B60" s="2905" t="str">
        <f>'预评函-3'!A9</f>
        <v>3.抵押双方在办理抵押登记手续时，应使用本公司出具的正式《土地估价报告》，特提请报告使用者注意。</v>
      </c>
    </row>
    <row r="61" spans="1:2">
      <c r="A61" s="2904" t="s">
        <v>2686</v>
      </c>
      <c r="B61" s="2905" t="str">
        <f>'预评函-3'!A10</f>
        <v>4.估价师所知悉的法定优先受偿款情况为：</v>
      </c>
    </row>
    <row r="62" spans="1:2">
      <c r="A62" s="2904" t="s">
        <v>2685</v>
      </c>
      <c r="B62" s="2905" t="str">
        <f>'预评函-3'!A11</f>
        <v>（1）根据估价对象《国有土地使用权》复印件、，截至估价期日，估价对象抵押权未见登记。</v>
      </c>
    </row>
    <row r="63" spans="1:2">
      <c r="A63" s="2904" t="s">
        <v>2687</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2688</v>
      </c>
      <c r="B64" s="2910" t="str">
        <f>'预评函-3'!A13</f>
        <v>（3）。</v>
      </c>
    </row>
    <row r="65" spans="1:2">
      <c r="A65" s="2904" t="s">
        <v>2689</v>
      </c>
      <c r="B65" s="2911" t="str">
        <f>'预评函-3'!A14</f>
        <v>综上，本次评估不存在估价师知悉的法定优先受偿款</v>
      </c>
    </row>
    <row r="66" spans="1:2">
      <c r="A66" s="2904" t="s">
        <v>2690</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2691</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2694</v>
      </c>
      <c r="B68" s="2930">
        <f>'预评函-3'!D30</f>
        <v>42558</v>
      </c>
    </row>
    <row r="69" spans="1:2" ht="15" thickTop="1">
      <c r="A69" s="2915" t="s">
        <v>2692</v>
      </c>
      <c r="B69" s="2916" t="str">
        <f>'预评函-3'!A20</f>
        <v>欧红伟</v>
      </c>
    </row>
    <row r="70" spans="1:2">
      <c r="A70" s="2904" t="s">
        <v>2692</v>
      </c>
      <c r="B70" s="2911">
        <f ca="1">'预评函-3'!B20</f>
        <v>2000110082</v>
      </c>
    </row>
    <row r="71" spans="1:2">
      <c r="A71" s="2904" t="s">
        <v>2693</v>
      </c>
      <c r="B71" s="2905" t="str">
        <f>'预评函-3'!A21</f>
        <v>梁津</v>
      </c>
    </row>
    <row r="72" spans="1:2" s="2919" customFormat="1" ht="15" thickBot="1">
      <c r="A72" s="2926" t="s">
        <v>2693</v>
      </c>
      <c r="B72" s="2932">
        <f ca="1">'预评函-3'!B21</f>
        <v>96010014</v>
      </c>
    </row>
    <row r="73" spans="1:2" ht="15" thickTop="1">
      <c r="A73" s="2915" t="s">
        <v>2752</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2753</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2754</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2789</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51" sqref="F51"/>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464</v>
      </c>
      <c r="B1" s="2836"/>
      <c r="C1" s="2106"/>
      <c r="D1" s="2106"/>
      <c r="E1" s="2106"/>
      <c r="F1" s="2106"/>
      <c r="G1" s="2106"/>
      <c r="H1" s="2106"/>
      <c r="I1" s="2106"/>
      <c r="J1" s="2106"/>
      <c r="K1" s="422">
        <f>MATCH(B1,'数据-取费表'!A6:A16,0)+5</f>
        <v>8</v>
      </c>
    </row>
    <row r="2" spans="1:31" s="2043" customFormat="1" ht="18" customHeight="1">
      <c r="A2" s="2103" t="s">
        <v>465</v>
      </c>
      <c r="B2" s="2107">
        <f ca="1">C36</f>
        <v>536925</v>
      </c>
      <c r="C2" s="2106"/>
      <c r="D2" s="2106"/>
      <c r="E2" s="2106"/>
      <c r="F2" s="2106"/>
      <c r="G2" s="2106"/>
      <c r="H2" s="2106"/>
      <c r="I2" s="2106"/>
      <c r="J2" s="2106"/>
      <c r="K2" s="2106"/>
    </row>
    <row r="3" spans="1:31" s="2043" customFormat="1" ht="18" customHeight="1">
      <c r="A3" s="2108" t="s">
        <v>1684</v>
      </c>
      <c r="B3" s="2109">
        <f ca="1">ROUND(B2*10000/IF(B1="",'数据-汇总表'!E3,INDIRECT("'数据-取费表'!K"&amp;$K$1)),0)</f>
        <v>51192</v>
      </c>
      <c r="C3" s="2106"/>
      <c r="D3" s="2106"/>
      <c r="E3" s="2106"/>
      <c r="F3" s="2106"/>
      <c r="G3" s="2106"/>
      <c r="H3" s="2106"/>
      <c r="I3" s="2106"/>
      <c r="J3" s="2106"/>
      <c r="K3" s="2106"/>
    </row>
    <row r="4" spans="1:31" s="2043" customFormat="1" ht="18" customHeight="1">
      <c r="A4" s="426" t="s">
        <v>466</v>
      </c>
      <c r="B4" s="427">
        <f ca="1">ROUND(B2*10000/IF(B1="",'数据-汇总表'!D3,INDIRECT("'数据-取费表'!R"&amp;$K$1)),0)</f>
        <v>53751</v>
      </c>
      <c r="C4" s="428"/>
      <c r="D4" s="422"/>
      <c r="E4" s="422"/>
      <c r="F4" s="422"/>
      <c r="G4" s="422"/>
      <c r="H4" s="422"/>
      <c r="I4" s="422"/>
      <c r="J4" s="422"/>
      <c r="K4" s="422"/>
    </row>
    <row r="5" spans="1:31" s="2043" customFormat="1" ht="18" customHeight="1" thickBot="1">
      <c r="A5" s="429"/>
      <c r="B5" s="430">
        <f ca="1">ROUND(B2/(IF(B1="",'数据-汇总表'!D3,INDIRECT("'数据-取费表'!R"&amp;$K$1))/666.67),0)</f>
        <v>3583</v>
      </c>
      <c r="C5" s="431" t="s">
        <v>467</v>
      </c>
      <c r="D5" s="422"/>
      <c r="E5" s="422"/>
      <c r="F5" s="422"/>
      <c r="G5" s="422"/>
      <c r="H5" s="422"/>
      <c r="I5" s="422"/>
      <c r="J5" s="422"/>
      <c r="K5" s="422"/>
    </row>
    <row r="6" spans="1:31" s="2113" customFormat="1" ht="16.5" customHeight="1">
      <c r="A6" s="2855" t="s">
        <v>1842</v>
      </c>
      <c r="B6" s="2856"/>
      <c r="C6" s="2857">
        <f>SUM(C10:K10)</f>
        <v>837258</v>
      </c>
      <c r="D6" s="2856"/>
      <c r="E6" s="2856"/>
      <c r="F6" s="2856"/>
      <c r="G6" s="2856"/>
      <c r="H6" s="2856"/>
      <c r="I6" s="2856"/>
      <c r="J6" s="2856"/>
      <c r="K6" s="2858"/>
    </row>
    <row r="7" spans="1:31" s="2115" customFormat="1" ht="15">
      <c r="A7" s="2859" t="s">
        <v>468</v>
      </c>
      <c r="B7" s="2860" t="s">
        <v>469</v>
      </c>
      <c r="C7" s="436" t="s">
        <v>3327</v>
      </c>
      <c r="D7" s="436" t="s">
        <v>3345</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470</v>
      </c>
      <c r="C8" s="2861">
        <f>'不动产比较法-合院'!B3</f>
        <v>84465</v>
      </c>
      <c r="D8" s="2861">
        <f>'不动产比较法-叠拼'!B3</f>
        <v>80417</v>
      </c>
      <c r="E8" s="2861"/>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471</v>
      </c>
      <c r="C9" s="441">
        <f>SUMIF('数据-汇总表'!$C19:$C33,'剩余法-待开发'!C7,'数据-汇总表'!$E19:$E33)</f>
        <v>19492.18</v>
      </c>
      <c r="D9" s="441">
        <f>SUMIF('数据-汇总表'!$C19:$C33,'剩余法-待开发'!D7,'数据-汇总表'!$E19:$E33)</f>
        <v>83641.09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1847</v>
      </c>
      <c r="B10" s="2849" t="s">
        <v>472</v>
      </c>
      <c r="C10" s="3056">
        <f>'不动产比较法-合院'!B2</f>
        <v>164641</v>
      </c>
      <c r="D10" s="3056">
        <f>'不动产比较法-叠拼'!B2</f>
        <v>672617</v>
      </c>
      <c r="E10" s="3056"/>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1843</v>
      </c>
      <c r="B11" s="2856"/>
      <c r="C11" s="2856"/>
      <c r="D11" s="2856"/>
      <c r="E11" s="2856"/>
      <c r="F11" s="2856"/>
      <c r="G11" s="2856"/>
      <c r="H11" s="2856"/>
      <c r="I11" s="2856"/>
      <c r="J11" s="2856"/>
      <c r="K11" s="2858"/>
    </row>
    <row r="12" spans="1:31" s="2087" customFormat="1" ht="13.5" customHeight="1">
      <c r="A12" s="2867" t="s">
        <v>468</v>
      </c>
      <c r="B12" s="2839" t="s">
        <v>469</v>
      </c>
      <c r="C12" s="2868" t="s">
        <v>473</v>
      </c>
      <c r="D12" s="2835" t="s">
        <v>474</v>
      </c>
      <c r="E12" s="2835" t="s">
        <v>475</v>
      </c>
      <c r="F12" s="2835" t="s">
        <v>476</v>
      </c>
      <c r="G12" s="2839"/>
      <c r="H12" s="2840"/>
      <c r="I12" s="2840"/>
      <c r="J12" s="2840"/>
      <c r="K12" s="2841"/>
    </row>
    <row r="13" spans="1:31" s="2118" customFormat="1" ht="13.5" customHeight="1">
      <c r="A13" s="2869" t="s">
        <v>1848</v>
      </c>
      <c r="B13" s="2870" t="s">
        <v>477</v>
      </c>
      <c r="C13" s="450">
        <f ca="1">IF(B1="",'数据-取费表'!P16,INDIRECT("'数据-取费表'!p"&amp;$K$1)+INDIRECT("'数据-取费表'!t"&amp;$K$1))</f>
        <v>36096</v>
      </c>
      <c r="D13" s="2871"/>
      <c r="E13" s="2872"/>
      <c r="F13" s="2873"/>
      <c r="G13" s="2839"/>
      <c r="H13" s="2840"/>
      <c r="I13" s="2840"/>
      <c r="J13" s="2840"/>
      <c r="K13" s="2841"/>
    </row>
    <row r="14" spans="1:31" s="2118" customFormat="1" ht="13.5" customHeight="1">
      <c r="A14" s="2869" t="s">
        <v>1849</v>
      </c>
      <c r="B14" s="2870" t="s">
        <v>478</v>
      </c>
      <c r="C14" s="53">
        <f ca="1">ROUND(C13*F14,0)</f>
        <v>1083</v>
      </c>
      <c r="D14" s="2871"/>
      <c r="E14" s="2872"/>
      <c r="F14" s="2874">
        <f>'数据-取费表'!B33</f>
        <v>0.03</v>
      </c>
      <c r="G14" s="2839" t="s">
        <v>479</v>
      </c>
      <c r="H14" s="2840"/>
      <c r="I14" s="2840"/>
      <c r="J14" s="2840"/>
      <c r="K14" s="2841"/>
    </row>
    <row r="15" spans="1:31" s="2118" customFormat="1" ht="13.5" customHeight="1">
      <c r="A15" s="2869" t="s">
        <v>1850</v>
      </c>
      <c r="B15" s="2870" t="s">
        <v>480</v>
      </c>
      <c r="C15" s="53">
        <f ca="1">ROUND(IF(B1="",SUMIF('数据-取费表'!C:C,"住宅",'数据-取费表'!P:P)*F15,IF(INDIRECT("'数据-取费表'!c"&amp;$K$1)="住宅",INDIRECT("'数据-取费表'!P"&amp;$K$1)*F15,0)),0)</f>
        <v>1805</v>
      </c>
      <c r="D15" s="2871"/>
      <c r="E15" s="2872"/>
      <c r="F15" s="2874">
        <f>'数据-取费表'!B34</f>
        <v>0.05</v>
      </c>
      <c r="G15" s="2839" t="s">
        <v>481</v>
      </c>
      <c r="H15" s="2840"/>
      <c r="I15" s="2840"/>
      <c r="J15" s="2840"/>
      <c r="K15" s="2841"/>
    </row>
    <row r="16" spans="1:31" s="2119" customFormat="1" ht="13.5" customHeight="1">
      <c r="A16" s="2869" t="s">
        <v>1851</v>
      </c>
      <c r="B16" s="2870" t="s">
        <v>482</v>
      </c>
      <c r="C16" s="53">
        <f ca="1">ROUND(D16*E16/10000,0)</f>
        <v>2098</v>
      </c>
      <c r="D16" s="2871">
        <f ca="1">IF(B1="",'数据-汇总表'!E3,INDIRECT("'数据-取费表'!K"&amp;$K$1)+INDIRECT("'数据-取费表'!S"&amp;$K$1))</f>
        <v>104884.84999999999</v>
      </c>
      <c r="E16" s="53">
        <f>'数据-取费表'!B35</f>
        <v>200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1852</v>
      </c>
      <c r="B17" s="2870" t="s">
        <v>483</v>
      </c>
      <c r="C17" s="2875">
        <f ca="1">ROUND(C13*F17,0)</f>
        <v>541</v>
      </c>
      <c r="D17" s="475"/>
      <c r="E17" s="2875"/>
      <c r="F17" s="2876">
        <f>'数据-取费表'!B36</f>
        <v>1.4999999999999999E-2</v>
      </c>
      <c r="G17" s="261" t="s">
        <v>484</v>
      </c>
      <c r="H17" s="2842"/>
      <c r="I17" s="2842"/>
      <c r="J17" s="2842"/>
      <c r="K17" s="279"/>
    </row>
    <row r="18" spans="1:14" s="2118" customFormat="1" ht="13.5" customHeight="1">
      <c r="A18" s="2877" t="s">
        <v>1853</v>
      </c>
      <c r="B18" s="2878" t="s">
        <v>485</v>
      </c>
      <c r="C18" s="2879">
        <f ca="1">SUM(C13:C17)</f>
        <v>41623</v>
      </c>
      <c r="D18" s="2880"/>
      <c r="E18" s="468"/>
      <c r="F18" s="468"/>
      <c r="G18" s="2843" t="s">
        <v>2430</v>
      </c>
      <c r="H18" s="2844"/>
      <c r="I18" s="2844"/>
      <c r="J18" s="2844"/>
      <c r="K18" s="2845"/>
    </row>
    <row r="19" spans="1:14" s="2118" customFormat="1" ht="13.5" customHeight="1">
      <c r="A19" s="2877" t="s">
        <v>1854</v>
      </c>
      <c r="B19" s="2878" t="s">
        <v>486</v>
      </c>
      <c r="C19" s="2835">
        <f ca="1">ROUND(D19*E19/10000,0)</f>
        <v>0</v>
      </c>
      <c r="D19" s="2881">
        <f ca="1">D16</f>
        <v>104884.84999999999</v>
      </c>
      <c r="E19" s="2835">
        <f>'数据-取费表'!B32</f>
        <v>0</v>
      </c>
      <c r="F19" s="468"/>
      <c r="G19" s="2839" t="s">
        <v>487</v>
      </c>
      <c r="H19" s="2840"/>
      <c r="I19" s="2844"/>
      <c r="J19" s="2844"/>
      <c r="K19" s="2845"/>
    </row>
    <row r="20" spans="1:14" s="2118" customFormat="1" ht="13.5" customHeight="1">
      <c r="A20" s="2877" t="s">
        <v>1855</v>
      </c>
      <c r="B20" s="2878" t="s">
        <v>488</v>
      </c>
      <c r="C20" s="2835">
        <f ca="1">C21+C22-IF(B1="",'数据-取费表'!B29,IF(G20="已全部缴纳",C21+C22,H20))</f>
        <v>1580</v>
      </c>
      <c r="D20" s="2881"/>
      <c r="E20" s="2835"/>
      <c r="F20" s="2882"/>
      <c r="G20" s="3116"/>
      <c r="H20" s="2837"/>
      <c r="I20" s="2838" t="s">
        <v>2653</v>
      </c>
      <c r="J20" s="2844"/>
      <c r="K20" s="2845"/>
    </row>
    <row r="21" spans="1:14" s="2118" customFormat="1" ht="13.5" customHeight="1">
      <c r="A21" s="2869" t="s">
        <v>1856</v>
      </c>
      <c r="B21" s="2870" t="s">
        <v>489</v>
      </c>
      <c r="C21" s="53">
        <f ca="1">ROUND(D21*E21/10000,0)</f>
        <v>1547</v>
      </c>
      <c r="D21" s="2871">
        <f ca="1">IF(B1="",'数据-汇总表'!E5,IF(INDIRECT("'数据-取费表'!c"&amp;$K$1)="住宅",INDIRECT("'数据-取费表'!k"&amp;$K$1),0))</f>
        <v>103133.26999999999</v>
      </c>
      <c r="E21" s="53">
        <f>'数据-取费表'!B27</f>
        <v>150</v>
      </c>
      <c r="F21" s="2874"/>
      <c r="G21" s="26"/>
      <c r="H21" s="51"/>
      <c r="I21" s="51"/>
      <c r="J21" s="51"/>
      <c r="K21" s="2846"/>
    </row>
    <row r="22" spans="1:14" s="2118" customFormat="1" ht="13.5" customHeight="1">
      <c r="A22" s="2869" t="s">
        <v>1857</v>
      </c>
      <c r="B22" s="2870" t="s">
        <v>490</v>
      </c>
      <c r="C22" s="53">
        <f ca="1">ROUND(D22*E22/10000,0)</f>
        <v>33</v>
      </c>
      <c r="D22" s="2871">
        <f ca="1">IF(B1="",'数据-汇总表'!E6,IF(INDIRECT("'数据-取费表'!c"&amp;$K$1)="住宅",INDIRECT("'数据-取费表'!s"&amp;$K$1),INDIRECT("'数据-取费表'!k"&amp;$K$1)+INDIRECT("'数据-取费表'!s"&amp;$K$1)))</f>
        <v>1751.5800000000017</v>
      </c>
      <c r="E22" s="53">
        <f>'数据-取费表'!B28</f>
        <v>190</v>
      </c>
      <c r="F22" s="2874"/>
      <c r="G22" s="26"/>
      <c r="H22" s="51"/>
      <c r="I22" s="51"/>
      <c r="J22" s="51"/>
      <c r="K22" s="2846"/>
    </row>
    <row r="23" spans="1:14" s="2118" customFormat="1" ht="13.5" customHeight="1">
      <c r="A23" s="2877" t="s">
        <v>1858</v>
      </c>
      <c r="B23" s="3062" t="s">
        <v>2836</v>
      </c>
      <c r="C23" s="2879">
        <f ca="1">ROUND((C18+C19+C20)*F23,0)</f>
        <v>864</v>
      </c>
      <c r="D23" s="468"/>
      <c r="E23" s="468"/>
      <c r="F23" s="2883">
        <f>'数据-取费表'!B37</f>
        <v>0.02</v>
      </c>
      <c r="G23" s="2839" t="s">
        <v>2431</v>
      </c>
      <c r="H23" s="2840"/>
      <c r="I23" s="2840"/>
      <c r="J23" s="2840"/>
      <c r="K23" s="2841"/>
      <c r="L23" s="2120"/>
      <c r="M23" s="2120"/>
      <c r="N23" s="2120"/>
    </row>
    <row r="24" spans="1:14" s="2118" customFormat="1" ht="13.5" customHeight="1">
      <c r="A24" s="2877" t="s">
        <v>1859</v>
      </c>
      <c r="B24" s="3062" t="s">
        <v>2839</v>
      </c>
      <c r="C24" s="2879">
        <f>ROUND(C6*F24,0)</f>
        <v>16745</v>
      </c>
      <c r="D24" s="475"/>
      <c r="E24" s="473"/>
      <c r="F24" s="2883">
        <f>'数据-取费表'!B38</f>
        <v>0.02</v>
      </c>
      <c r="G24" s="2848" t="s">
        <v>497</v>
      </c>
      <c r="H24" s="2842"/>
      <c r="I24" s="2842"/>
      <c r="J24" s="2842"/>
      <c r="K24" s="279"/>
      <c r="L24" s="2120"/>
      <c r="M24" s="2120"/>
      <c r="N24" s="2120"/>
    </row>
    <row r="25" spans="1:14" s="2121" customFormat="1" ht="13.5" customHeight="1">
      <c r="A25" s="2877" t="s">
        <v>1860</v>
      </c>
      <c r="B25" s="3062" t="s">
        <v>2837</v>
      </c>
      <c r="C25" s="467">
        <f>ROUND(F25/(1+'数据-取费表'!C42),4)</f>
        <v>2.9000000000000001E-2</v>
      </c>
      <c r="D25" s="462" t="s">
        <v>2831</v>
      </c>
      <c r="E25" s="469"/>
      <c r="F25" s="2883">
        <f>'数据-取费表'!B48+'数据-取费表'!B49</f>
        <v>3.0499999999999999E-2</v>
      </c>
      <c r="G25" s="2847" t="s">
        <v>2289</v>
      </c>
      <c r="H25" s="2840"/>
      <c r="I25" s="2840"/>
      <c r="J25" s="2840"/>
      <c r="K25" s="2841"/>
    </row>
    <row r="26" spans="1:14" s="2120" customFormat="1" ht="13.5" customHeight="1">
      <c r="A26" s="2877" t="s">
        <v>1861</v>
      </c>
      <c r="B26" s="3063" t="s">
        <v>2838</v>
      </c>
      <c r="C26" s="2884">
        <f ca="1">C28</f>
        <v>2889</v>
      </c>
      <c r="D26" s="467">
        <f ca="1">C27</f>
        <v>0.10009999999999999</v>
      </c>
      <c r="E26" s="469" t="s">
        <v>493</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1856</v>
      </c>
      <c r="B27" s="2885" t="s">
        <v>494</v>
      </c>
      <c r="C27" s="2886">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1857</v>
      </c>
      <c r="B28" s="2885" t="s">
        <v>2840</v>
      </c>
      <c r="C28" s="2887">
        <f ca="1">ROUND(IF('数据-取费表'!B22&lt;=1,(C18+C19+C20+C23+C24)*F26*'数据-取费表'!B24/2,(C18+C19+C20+C23+C24)*(POWER((1+F26),'数据-取费表'!B24/2)-1)),0)</f>
        <v>2889</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1862</v>
      </c>
      <c r="B29" s="2878" t="s">
        <v>495</v>
      </c>
      <c r="C29" s="2879">
        <f>ROUND(C6*F29/(1+'数据-取费表'!C42),0)</f>
        <v>44654</v>
      </c>
      <c r="D29" s="468"/>
      <c r="E29" s="468"/>
      <c r="F29" s="3064">
        <f>'数据-取费表'!B41</f>
        <v>5.6000000000000001E-2</v>
      </c>
      <c r="G29" s="2848" t="s">
        <v>496</v>
      </c>
      <c r="H29" s="2840"/>
      <c r="I29" s="2840"/>
      <c r="J29" s="2840"/>
      <c r="K29" s="2841"/>
    </row>
    <row r="30" spans="1:14" s="2123" customFormat="1" ht="13.5" customHeight="1">
      <c r="A30" s="1636" t="s">
        <v>1863</v>
      </c>
      <c r="B30" s="2889" t="s">
        <v>498</v>
      </c>
      <c r="C30" s="2884">
        <f ca="1">C31</f>
        <v>108355</v>
      </c>
      <c r="D30" s="477">
        <f ca="1">C32</f>
        <v>0.12909999999999999</v>
      </c>
      <c r="E30" s="469" t="s">
        <v>493</v>
      </c>
      <c r="F30" s="471"/>
      <c r="G30" s="2839" t="s">
        <v>499</v>
      </c>
      <c r="H30" s="2840"/>
      <c r="I30" s="2840"/>
      <c r="J30" s="2840"/>
      <c r="K30" s="2841"/>
    </row>
    <row r="31" spans="1:14" s="2122" customFormat="1" ht="13.5" customHeight="1">
      <c r="A31" s="803" t="s">
        <v>1856</v>
      </c>
      <c r="B31" s="2885"/>
      <c r="C31" s="450">
        <f ca="1">C18+C19+C20+C23+C24+C26+C29</f>
        <v>108355</v>
      </c>
      <c r="D31" s="472"/>
      <c r="E31" s="473"/>
      <c r="F31" s="474"/>
      <c r="G31" s="261"/>
      <c r="H31" s="2842"/>
      <c r="I31" s="2842"/>
      <c r="J31" s="2842"/>
      <c r="K31" s="279"/>
    </row>
    <row r="32" spans="1:14" s="2122" customFormat="1" ht="13.5" customHeight="1">
      <c r="A32" s="803" t="s">
        <v>1857</v>
      </c>
      <c r="B32" s="2885"/>
      <c r="C32" s="53">
        <f ca="1">ROUND(C25+D26,4)</f>
        <v>0.12909999999999999</v>
      </c>
      <c r="D32" s="472"/>
      <c r="E32" s="473"/>
      <c r="F32" s="474"/>
      <c r="G32" s="261"/>
      <c r="H32" s="2842"/>
      <c r="I32" s="2842"/>
      <c r="J32" s="2842"/>
      <c r="K32" s="279"/>
    </row>
    <row r="33" spans="1:11" s="2124" customFormat="1" ht="13.5" customHeight="1">
      <c r="A33" s="3061" t="s">
        <v>2835</v>
      </c>
      <c r="B33" s="3059" t="s">
        <v>2833</v>
      </c>
      <c r="C33" s="478">
        <f ca="1">C35</f>
        <v>12162</v>
      </c>
      <c r="D33" s="467">
        <f ca="1">C34</f>
        <v>0.20580000000000001</v>
      </c>
      <c r="E33" s="469" t="s">
        <v>493</v>
      </c>
      <c r="F33" s="479">
        <f ca="1">IF(B1="",'数据-取费表'!Q16,INDIRECT("'数据-取费表'!q"&amp;$K$1))</f>
        <v>0.2</v>
      </c>
      <c r="G33" s="2843"/>
      <c r="H33" s="2844"/>
      <c r="I33" s="2844"/>
      <c r="J33" s="2844"/>
      <c r="K33" s="2845"/>
    </row>
    <row r="34" spans="1:11" s="2125" customFormat="1" ht="13.5" customHeight="1">
      <c r="A34" s="375" t="s">
        <v>1856</v>
      </c>
      <c r="B34" s="2890" t="s">
        <v>500</v>
      </c>
      <c r="C34" s="472">
        <f ca="1">ROUND((1+C25)*F33,4)</f>
        <v>0.20580000000000001</v>
      </c>
      <c r="D34" s="472"/>
      <c r="E34" s="473"/>
      <c r="F34" s="480"/>
      <c r="G34" s="261" t="s">
        <v>2290</v>
      </c>
      <c r="H34" s="2842"/>
      <c r="I34" s="2842"/>
      <c r="J34" s="2842"/>
      <c r="K34" s="279"/>
    </row>
    <row r="35" spans="1:11" s="2125" customFormat="1" ht="13.5" customHeight="1" thickBot="1">
      <c r="A35" s="1637" t="s">
        <v>1857</v>
      </c>
      <c r="B35" s="3060" t="s">
        <v>2841</v>
      </c>
      <c r="C35" s="1629">
        <f ca="1">ROUND((C18+C19+C20+C23+C24)*F33,0)</f>
        <v>12162</v>
      </c>
      <c r="D35" s="1630"/>
      <c r="E35" s="2891"/>
      <c r="F35" s="1631"/>
      <c r="G35" s="2849"/>
      <c r="H35" s="2850"/>
      <c r="I35" s="2850"/>
      <c r="J35" s="2850"/>
      <c r="K35" s="2851"/>
    </row>
    <row r="36" spans="1:11" s="2087" customFormat="1" ht="13.5" customHeight="1" thickBot="1">
      <c r="A36" s="284" t="s">
        <v>1844</v>
      </c>
      <c r="B36" s="2853"/>
      <c r="C36" s="2892">
        <f ca="1">ROUND((C6-C30-C33)/(1+D30+D33),0)</f>
        <v>536925</v>
      </c>
      <c r="D36" s="2853"/>
      <c r="E36" s="2853"/>
      <c r="F36" s="2853"/>
      <c r="G36" s="2852" t="s">
        <v>2842</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464</v>
      </c>
      <c r="B1" s="2836"/>
      <c r="C1" s="2106"/>
      <c r="D1" s="2106"/>
      <c r="E1" s="2106"/>
      <c r="F1" s="2106"/>
      <c r="G1" s="2106"/>
      <c r="H1" s="2106"/>
      <c r="I1" s="2106"/>
      <c r="J1" s="2106"/>
      <c r="K1" s="422">
        <f>MATCH(B1,'数据-取费表'!A6:A16,0)+5</f>
        <v>8</v>
      </c>
    </row>
    <row r="2" spans="1:41" s="2043" customFormat="1" ht="18" customHeight="1">
      <c r="A2" s="423" t="s">
        <v>465</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466</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467</v>
      </c>
      <c r="D5" s="2106"/>
      <c r="E5" s="2106"/>
      <c r="F5" s="2106"/>
      <c r="G5" s="2106"/>
      <c r="H5" s="2106"/>
      <c r="I5" s="2106"/>
      <c r="J5" s="2106"/>
      <c r="K5" s="2106"/>
    </row>
    <row r="6" spans="1:41" s="2113" customFormat="1" ht="16.5" customHeight="1">
      <c r="A6" s="432" t="s">
        <v>2654</v>
      </c>
      <c r="B6" s="433"/>
      <c r="C6" s="1624">
        <f>SUM(C10:K10)</f>
        <v>0</v>
      </c>
      <c r="D6" s="2111"/>
      <c r="E6" s="2111"/>
      <c r="F6" s="2111"/>
      <c r="G6" s="2111"/>
      <c r="H6" s="2111"/>
      <c r="I6" s="2111"/>
      <c r="J6" s="2111"/>
      <c r="K6" s="2112"/>
    </row>
    <row r="7" spans="1:41" s="2115" customFormat="1" ht="15">
      <c r="A7" s="434" t="s">
        <v>468</v>
      </c>
      <c r="B7" s="435" t="s">
        <v>469</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470</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471</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472</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468</v>
      </c>
      <c r="B12" s="444" t="s">
        <v>469</v>
      </c>
      <c r="C12" s="445" t="s">
        <v>473</v>
      </c>
      <c r="D12" s="446" t="s">
        <v>474</v>
      </c>
      <c r="E12" s="446" t="s">
        <v>475</v>
      </c>
      <c r="F12" s="446" t="s">
        <v>476</v>
      </c>
      <c r="G12" s="444"/>
      <c r="H12" s="447"/>
      <c r="I12" s="447"/>
      <c r="J12" s="447"/>
      <c r="K12" s="448"/>
    </row>
    <row r="13" spans="1:41" s="2118" customFormat="1" ht="13.5" customHeight="1">
      <c r="A13" s="1634" t="s">
        <v>1848</v>
      </c>
      <c r="B13" s="449" t="s">
        <v>477</v>
      </c>
      <c r="C13" s="450">
        <f ca="1">IF(B1="",'数据-取费表'!M16,INDIRECT("'数据-取费表'!M"&amp;$K$1)+INDIRECT("'数据-取费表'!t"&amp;$K$1))</f>
        <v>36096</v>
      </c>
      <c r="D13" s="451"/>
      <c r="E13" s="365"/>
      <c r="F13" s="452"/>
      <c r="G13" s="444"/>
      <c r="H13" s="447"/>
      <c r="I13" s="447"/>
      <c r="J13" s="447"/>
      <c r="K13" s="448"/>
    </row>
    <row r="14" spans="1:41" s="2118" customFormat="1" ht="13.5" customHeight="1">
      <c r="A14" s="1634" t="s">
        <v>1849</v>
      </c>
      <c r="B14" s="449" t="s">
        <v>478</v>
      </c>
      <c r="C14" s="53">
        <f ca="1">ROUND(C13*F14,0)</f>
        <v>1083</v>
      </c>
      <c r="D14" s="451"/>
      <c r="E14" s="365"/>
      <c r="F14" s="453">
        <f>'数据-取费表'!B33</f>
        <v>0.03</v>
      </c>
      <c r="G14" s="444" t="s">
        <v>501</v>
      </c>
      <c r="H14" s="447"/>
      <c r="I14" s="447"/>
      <c r="J14" s="447"/>
      <c r="K14" s="448"/>
    </row>
    <row r="15" spans="1:41" s="2118" customFormat="1" ht="13.5" customHeight="1">
      <c r="A15" s="1634" t="s">
        <v>1850</v>
      </c>
      <c r="B15" s="449" t="s">
        <v>480</v>
      </c>
      <c r="C15" s="53">
        <f ca="1">ROUND(IF(B1="",SUMIF('数据-取费表'!C:C,"住宅",'数据-取费表'!M:M)*F15,IF(INDIRECT("'数据-取费表'!c"&amp;$K$1)="住宅",INDIRECT("'数据-取费表'!M"&amp;$K$1)*F15,0)),0)</f>
        <v>1805</v>
      </c>
      <c r="D15" s="451"/>
      <c r="E15" s="365"/>
      <c r="F15" s="453">
        <f>'数据-取费表'!B34</f>
        <v>0.05</v>
      </c>
      <c r="G15" s="444" t="s">
        <v>501</v>
      </c>
      <c r="H15" s="447"/>
      <c r="I15" s="447"/>
      <c r="J15" s="447"/>
      <c r="K15" s="448"/>
    </row>
    <row r="16" spans="1:41" s="2119" customFormat="1" ht="13.5" customHeight="1">
      <c r="A16" s="1634" t="s">
        <v>1851</v>
      </c>
      <c r="B16" s="449" t="s">
        <v>482</v>
      </c>
      <c r="C16" s="53">
        <f ca="1">ROUND(D16*E16/10000,0)</f>
        <v>2098</v>
      </c>
      <c r="D16" s="451">
        <f ca="1">IF(B1="",'数据-汇总表'!E3,INDIRECT("'数据-取费表'!K"&amp;$K$1)+INDIRECT("'数据-取费表'!S"&amp;$K$1))</f>
        <v>104884.84999999999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483</v>
      </c>
      <c r="C17" s="454">
        <f ca="1">ROUND(C13*F17,0)</f>
        <v>541</v>
      </c>
      <c r="D17" s="455"/>
      <c r="E17" s="454"/>
      <c r="F17" s="456">
        <f>'数据-取费表'!B36</f>
        <v>1.4999999999999999E-2</v>
      </c>
      <c r="G17" s="444" t="s">
        <v>501</v>
      </c>
      <c r="H17" s="457"/>
      <c r="I17" s="457"/>
      <c r="J17" s="457"/>
      <c r="K17" s="458"/>
    </row>
    <row r="18" spans="1:14" s="2121" customFormat="1" ht="13.5" customHeight="1">
      <c r="A18" s="1635" t="s">
        <v>1853</v>
      </c>
      <c r="B18" s="459" t="s">
        <v>485</v>
      </c>
      <c r="C18" s="460">
        <f ca="1">SUM(C13:C17)</f>
        <v>41623</v>
      </c>
      <c r="D18" s="461"/>
      <c r="E18" s="462"/>
      <c r="F18" s="462"/>
      <c r="G18" s="1327" t="s">
        <v>2432</v>
      </c>
      <c r="H18" s="447"/>
      <c r="I18" s="447"/>
      <c r="J18" s="447"/>
      <c r="K18" s="448"/>
    </row>
    <row r="19" spans="1:14" s="2121" customFormat="1" ht="13.5" customHeight="1">
      <c r="A19" s="1635" t="s">
        <v>1854</v>
      </c>
      <c r="B19" s="459" t="s">
        <v>491</v>
      </c>
      <c r="C19" s="460">
        <f ca="1">ROUND(C18*F19,0)</f>
        <v>832</v>
      </c>
      <c r="D19" s="462"/>
      <c r="E19" s="462"/>
      <c r="F19" s="466">
        <f>'数据-取费表'!B37</f>
        <v>0.02</v>
      </c>
      <c r="G19" s="444" t="s">
        <v>502</v>
      </c>
      <c r="H19" s="447"/>
      <c r="I19" s="447"/>
      <c r="J19" s="447"/>
      <c r="K19" s="448"/>
      <c r="L19" s="2123"/>
      <c r="M19" s="2123"/>
      <c r="N19" s="2123"/>
    </row>
    <row r="20" spans="1:14" s="2121" customFormat="1" ht="13.5" customHeight="1">
      <c r="A20" s="1635" t="s">
        <v>1855</v>
      </c>
      <c r="B20" s="459" t="s">
        <v>503</v>
      </c>
      <c r="C20" s="3057">
        <f>F20</f>
        <v>0.02</v>
      </c>
      <c r="D20" s="469" t="s">
        <v>504</v>
      </c>
      <c r="E20" s="469"/>
      <c r="F20" s="486">
        <f>'数据-取费表'!B38</f>
        <v>0.02</v>
      </c>
      <c r="G20" s="1327" t="s">
        <v>505</v>
      </c>
      <c r="H20" s="447"/>
      <c r="I20" s="447"/>
      <c r="J20" s="447"/>
      <c r="K20" s="448"/>
      <c r="L20" s="2123"/>
      <c r="M20" s="2123"/>
      <c r="N20" s="2123"/>
    </row>
    <row r="21" spans="1:14" s="2123" customFormat="1" ht="13.5" customHeight="1">
      <c r="A21" s="1635" t="s">
        <v>1858</v>
      </c>
      <c r="B21" s="461" t="s">
        <v>492</v>
      </c>
      <c r="C21" s="470">
        <f ca="1">C22</f>
        <v>2017</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2454</v>
      </c>
    </row>
    <row r="22" spans="1:14" s="2122" customFormat="1" ht="13.5" customHeight="1">
      <c r="A22" s="1634" t="s">
        <v>1848</v>
      </c>
      <c r="B22" s="1328" t="s">
        <v>2435</v>
      </c>
      <c r="C22" s="487">
        <f ca="1">ROUND(IF('数据-取费表'!B22&lt;=1,(C18+C19)*F21*'数据-取费表'!B20/2,(C18+C19)*(POWER((1+F21),'数据-取费表'!B20/2)-1)),0)</f>
        <v>2017</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1849</v>
      </c>
      <c r="B23" s="1328" t="s">
        <v>507</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1859</v>
      </c>
      <c r="B24" s="3059" t="s">
        <v>2834</v>
      </c>
      <c r="C24" s="478">
        <f ca="1">C25</f>
        <v>8491</v>
      </c>
      <c r="D24" s="489">
        <f ca="1">C26</f>
        <v>4.0000000000000001E-3</v>
      </c>
      <c r="E24" s="469" t="s">
        <v>506</v>
      </c>
      <c r="F24" s="479">
        <f ca="1">IF(B1="",'数据-取费表'!Q16,INDIRECT("'数据-取费表'!q"&amp;$K$1))</f>
        <v>0.2</v>
      </c>
      <c r="G24" s="444"/>
      <c r="H24" s="447"/>
      <c r="I24" s="447"/>
      <c r="J24" s="447"/>
      <c r="K24" s="448"/>
    </row>
    <row r="25" spans="1:14" s="2122" customFormat="1" ht="13.5" customHeight="1">
      <c r="A25" s="1634" t="s">
        <v>1848</v>
      </c>
      <c r="B25" s="1328" t="s">
        <v>2436</v>
      </c>
      <c r="C25" s="490">
        <f ca="1">ROUND((C18+C19)*F24,0)</f>
        <v>8491</v>
      </c>
      <c r="D25" s="472"/>
      <c r="E25" s="473"/>
      <c r="F25" s="480"/>
      <c r="G25" s="1326" t="s">
        <v>2433</v>
      </c>
      <c r="H25" s="457"/>
      <c r="I25" s="457"/>
      <c r="J25" s="457"/>
      <c r="K25" s="458"/>
    </row>
    <row r="26" spans="1:14" s="2122" customFormat="1" ht="13.5" customHeight="1">
      <c r="A26" s="1634" t="s">
        <v>1849</v>
      </c>
      <c r="B26" s="1328" t="s">
        <v>508</v>
      </c>
      <c r="C26" s="491">
        <f ca="1">ROUND(F20*F24,4)</f>
        <v>4.0000000000000001E-3</v>
      </c>
      <c r="D26" s="472"/>
      <c r="E26" s="481"/>
      <c r="F26" s="480"/>
      <c r="G26" s="1326" t="s">
        <v>509</v>
      </c>
      <c r="H26" s="457"/>
      <c r="I26" s="457"/>
      <c r="J26" s="457"/>
      <c r="K26" s="458"/>
    </row>
    <row r="27" spans="1:14" s="2122" customFormat="1" ht="13.5" customHeight="1">
      <c r="A27" s="1638" t="s">
        <v>1867</v>
      </c>
      <c r="B27" s="459" t="s">
        <v>510</v>
      </c>
      <c r="C27" s="3058">
        <f>ROUND(F27/(1+'数据-取费表'!C42),4)</f>
        <v>5.33E-2</v>
      </c>
      <c r="D27" s="462" t="s">
        <v>2832</v>
      </c>
      <c r="E27" s="462"/>
      <c r="F27" s="466">
        <f>'数据-取费表'!B41</f>
        <v>5.6000000000000001E-2</v>
      </c>
      <c r="G27" s="1962" t="s">
        <v>2291</v>
      </c>
      <c r="H27" s="447"/>
      <c r="I27" s="447"/>
      <c r="J27" s="447"/>
      <c r="K27" s="448"/>
    </row>
    <row r="28" spans="1:14" s="2123" customFormat="1" ht="13.5" customHeight="1">
      <c r="A28" s="1638" t="s">
        <v>1868</v>
      </c>
      <c r="B28" s="476" t="s">
        <v>511</v>
      </c>
      <c r="C28" s="470">
        <f ca="1">ROUND((C18+C19+C21+C24)/(1-C20-D21-D24-C27),0)</f>
        <v>57462</v>
      </c>
      <c r="D28" s="477"/>
      <c r="E28" s="469"/>
      <c r="F28" s="471"/>
      <c r="G28" s="1327" t="s">
        <v>2434</v>
      </c>
      <c r="H28" s="447"/>
      <c r="I28" s="447"/>
      <c r="J28" s="447"/>
      <c r="K28" s="448"/>
    </row>
    <row r="29" spans="1:14" s="2123"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508" t="s">
        <v>1865</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9" t="s">
        <v>2455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G39" sqref="G3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465</v>
      </c>
      <c r="B2" s="508">
        <f>F68</f>
        <v>445608</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42485</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44610</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2974</v>
      </c>
      <c r="C5" s="431" t="s">
        <v>467</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677" t="s">
        <v>521</v>
      </c>
      <c r="D6" s="3678"/>
      <c r="E6" s="3677" t="s">
        <v>522</v>
      </c>
      <c r="F6" s="3678"/>
      <c r="G6" s="3677" t="s">
        <v>523</v>
      </c>
      <c r="H6" s="3678"/>
      <c r="I6" s="3677" t="s">
        <v>524</v>
      </c>
      <c r="J6" s="3678"/>
      <c r="K6" s="514" t="s">
        <v>525</v>
      </c>
      <c r="L6" s="2135"/>
      <c r="M6" s="2134"/>
      <c r="N6" s="2134"/>
      <c r="O6" s="2136"/>
      <c r="P6" s="3679" t="s">
        <v>526</v>
      </c>
      <c r="Q6" s="3680"/>
      <c r="R6" s="3685" t="s">
        <v>522</v>
      </c>
      <c r="S6" s="3686"/>
      <c r="T6" s="3685" t="s">
        <v>523</v>
      </c>
      <c r="U6" s="3686"/>
      <c r="V6" s="3672" t="s">
        <v>524</v>
      </c>
      <c r="W6" s="3672"/>
      <c r="X6" s="1568"/>
      <c r="Y6" s="3685" t="s">
        <v>526</v>
      </c>
      <c r="Z6" s="3686"/>
      <c r="AA6" s="3674" t="s">
        <v>522</v>
      </c>
      <c r="AB6" s="3675" t="s">
        <v>523</v>
      </c>
      <c r="AC6" s="3674" t="s">
        <v>524</v>
      </c>
    </row>
    <row r="7" spans="1:30" ht="34.5" customHeight="1">
      <c r="A7" s="515"/>
      <c r="B7" s="516"/>
      <c r="C7" s="3693" t="s">
        <v>2930</v>
      </c>
      <c r="D7" s="3694"/>
      <c r="E7" s="3693" t="str">
        <f>土地案例!A3</f>
        <v>北京市朝阳孙河乡北甸西村2902-14地块R2二类居住用地</v>
      </c>
      <c r="F7" s="3694"/>
      <c r="G7" s="3693" t="str">
        <f>土地案例!A7</f>
        <v>北京市朝阳区孙河乡北甸西村、西甸村2902-29地块R2二类居住用地、2902-17地块A8社区综合服务设施用地、2902-15地块A334托幼用地</v>
      </c>
      <c r="H7" s="3694"/>
      <c r="I7" s="3693" t="str">
        <f>土地案例!A8</f>
        <v>朝阳区孙河乡西甸村2902-86地块</v>
      </c>
      <c r="J7" s="3694"/>
      <c r="K7" s="514"/>
      <c r="L7" s="2135"/>
      <c r="M7" s="2134"/>
      <c r="N7" s="2134"/>
      <c r="O7" s="2136"/>
      <c r="P7" s="3681"/>
      <c r="Q7" s="3682"/>
      <c r="R7" s="3687"/>
      <c r="S7" s="3688"/>
      <c r="T7" s="3687"/>
      <c r="U7" s="3688"/>
      <c r="V7" s="3672"/>
      <c r="W7" s="3672"/>
      <c r="X7" s="1568"/>
      <c r="Y7" s="3687"/>
      <c r="Z7" s="3688"/>
      <c r="AA7" s="3675"/>
      <c r="AB7" s="3675"/>
      <c r="AC7" s="3675"/>
    </row>
    <row r="8" spans="1:30" ht="21" thickBot="1">
      <c r="A8" s="515"/>
      <c r="B8" s="516"/>
      <c r="C8" s="3695" t="s">
        <v>2934</v>
      </c>
      <c r="D8" s="3696"/>
      <c r="E8" s="3695" t="s">
        <v>2934</v>
      </c>
      <c r="F8" s="3696"/>
      <c r="G8" s="3691" t="s">
        <v>2934</v>
      </c>
      <c r="H8" s="3692"/>
      <c r="I8" s="3691" t="s">
        <v>2934</v>
      </c>
      <c r="J8" s="3692"/>
      <c r="K8" s="514" t="s">
        <v>527</v>
      </c>
      <c r="L8" s="2135"/>
      <c r="M8" s="2134"/>
      <c r="N8" s="2134"/>
      <c r="O8" s="2136"/>
      <c r="P8" s="3683"/>
      <c r="Q8" s="3684"/>
      <c r="R8" s="3687"/>
      <c r="S8" s="3688"/>
      <c r="T8" s="3689"/>
      <c r="U8" s="3690"/>
      <c r="V8" s="3672"/>
      <c r="W8" s="3672"/>
      <c r="X8" s="1568"/>
      <c r="Y8" s="3689"/>
      <c r="Z8" s="3690"/>
      <c r="AA8" s="3676"/>
      <c r="AB8" s="3676"/>
      <c r="AC8" s="3676"/>
    </row>
    <row r="9" spans="1:30" s="1220" customFormat="1" ht="21" thickBot="1">
      <c r="A9" s="2939"/>
      <c r="B9" s="2946" t="s">
        <v>528</v>
      </c>
      <c r="C9" s="2938">
        <f>'数据-取费表'!B2</f>
        <v>43166</v>
      </c>
      <c r="D9" s="520">
        <v>100</v>
      </c>
      <c r="E9" s="521" t="str">
        <f>土地案例!H3</f>
        <v>2018-01-17</v>
      </c>
      <c r="F9" s="522">
        <f>SUMIF(72:72,YEAR(E9)&amp;"-"&amp;INT((MONTH(E9)+2)/3),73:73)</f>
        <v>100</v>
      </c>
      <c r="G9" s="523" t="str">
        <f>土地案例!H7</f>
        <v>2017-09-07</v>
      </c>
      <c r="H9" s="520">
        <f>SUMIF(72:72,YEAR(G9)&amp;"-"&amp;INT((MONTH(G9)+2)/3),73:73)</f>
        <v>98</v>
      </c>
      <c r="I9" s="523" t="str">
        <f>土地案例!H8</f>
        <v>2017-05-03</v>
      </c>
      <c r="J9" s="520">
        <f>SUMIF(72:72,YEAR(I9)&amp;"-"&amp;INT((MONTH(I9)+2)/3),73:73)</f>
        <v>97</v>
      </c>
      <c r="K9" s="524"/>
      <c r="L9" s="2137"/>
      <c r="M9" s="2134"/>
      <c r="N9" s="2134"/>
      <c r="O9" s="2138"/>
      <c r="P9" s="3702" t="s">
        <v>529</v>
      </c>
      <c r="Q9" s="3704"/>
      <c r="R9" s="1569" t="s">
        <v>8</v>
      </c>
      <c r="S9" s="1570">
        <f t="shared" ref="S9:S17" si="0">F9</f>
        <v>100</v>
      </c>
      <c r="T9" s="1569" t="s">
        <v>8</v>
      </c>
      <c r="U9" s="1570">
        <f t="shared" ref="U9:U17" si="1">H9</f>
        <v>98</v>
      </c>
      <c r="V9" s="1569" t="s">
        <v>8</v>
      </c>
      <c r="W9" s="1570">
        <f t="shared" ref="W9:W17" si="2">J9</f>
        <v>97</v>
      </c>
      <c r="X9" s="1571"/>
      <c r="Y9" s="3702" t="s">
        <v>529</v>
      </c>
      <c r="Z9" s="3703"/>
      <c r="AA9" s="1572">
        <f>D9/F9</f>
        <v>1</v>
      </c>
      <c r="AB9" s="1572">
        <f>D9/H9</f>
        <v>1.0204081632653061</v>
      </c>
      <c r="AC9" s="1572">
        <f>D9/J9</f>
        <v>1.0309278350515463</v>
      </c>
    </row>
    <row r="10" spans="1:30" s="1220" customFormat="1" ht="21" thickBot="1">
      <c r="A10" s="2940"/>
      <c r="B10" s="2947"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7"/>
      <c r="M10" s="2134"/>
      <c r="N10" s="2134"/>
      <c r="O10" s="2138"/>
      <c r="P10" s="3702" t="s">
        <v>532</v>
      </c>
      <c r="Q10" s="3703"/>
      <c r="R10" s="1569" t="s">
        <v>8</v>
      </c>
      <c r="S10" s="1570">
        <f t="shared" si="0"/>
        <v>100</v>
      </c>
      <c r="T10" s="1569" t="s">
        <v>8</v>
      </c>
      <c r="U10" s="1570">
        <f t="shared" si="1"/>
        <v>100</v>
      </c>
      <c r="V10" s="1569" t="s">
        <v>8</v>
      </c>
      <c r="W10" s="1570">
        <f t="shared" si="2"/>
        <v>100</v>
      </c>
      <c r="X10" s="1571"/>
      <c r="Y10" s="3702" t="s">
        <v>532</v>
      </c>
      <c r="Z10" s="3703"/>
      <c r="AA10" s="1572">
        <f t="shared" ref="AA10:AA47" si="3">D10/F10</f>
        <v>1</v>
      </c>
      <c r="AB10" s="1572">
        <f t="shared" ref="AB10:AB47" si="4">D10/H10</f>
        <v>1</v>
      </c>
      <c r="AC10" s="1572">
        <f t="shared" ref="AC10:AC47" si="5">D10/J10</f>
        <v>1</v>
      </c>
    </row>
    <row r="11" spans="1:30" s="1220" customFormat="1" ht="20.25">
      <c r="A11" s="2941"/>
      <c r="B11" s="2948" t="s">
        <v>2758</v>
      </c>
      <c r="C11" s="2935" t="s">
        <v>922</v>
      </c>
      <c r="D11" s="254">
        <v>100</v>
      </c>
      <c r="E11" s="2935" t="s">
        <v>922</v>
      </c>
      <c r="F11" s="254">
        <f>SUMIF(77:77,E11,78:78)-SUMIF(77:77,C11,78:78)+100</f>
        <v>100</v>
      </c>
      <c r="G11" s="2935" t="s">
        <v>922</v>
      </c>
      <c r="H11" s="254">
        <f>SUMIF(77:77,G11,78:78)-SUMIF(77:77,C11,78:78)+100</f>
        <v>100</v>
      </c>
      <c r="I11" s="2935" t="s">
        <v>922</v>
      </c>
      <c r="J11" s="254">
        <f>SUMIF(77:77,I11,78:78)-SUMIF(77:77,C11,78:78)+100</f>
        <v>100</v>
      </c>
      <c r="K11" s="524"/>
      <c r="L11" s="2137"/>
      <c r="M11" s="2134"/>
      <c r="N11" s="2134"/>
      <c r="O11" s="2139"/>
      <c r="P11" s="3671" t="s">
        <v>534</v>
      </c>
      <c r="Q11" s="1151" t="str">
        <f t="shared" ref="Q11:Q17" si="6">B11</f>
        <v>用途</v>
      </c>
      <c r="R11" s="1569" t="s">
        <v>8</v>
      </c>
      <c r="S11" s="1570">
        <f t="shared" si="0"/>
        <v>100</v>
      </c>
      <c r="T11" s="1569" t="s">
        <v>8</v>
      </c>
      <c r="U11" s="1570">
        <f t="shared" si="1"/>
        <v>100</v>
      </c>
      <c r="V11" s="1569" t="s">
        <v>8</v>
      </c>
      <c r="W11" s="1570">
        <f t="shared" si="2"/>
        <v>100</v>
      </c>
      <c r="X11" s="1571"/>
      <c r="Y11" s="3617" t="s">
        <v>535</v>
      </c>
      <c r="Z11" s="1150" t="str">
        <f t="shared" ref="Z11:Z17" si="7">Q11</f>
        <v>用途</v>
      </c>
      <c r="AA11" s="1572">
        <f t="shared" si="3"/>
        <v>1</v>
      </c>
      <c r="AB11" s="1572">
        <f t="shared" si="4"/>
        <v>1</v>
      </c>
      <c r="AC11" s="1572">
        <f t="shared" si="5"/>
        <v>1</v>
      </c>
    </row>
    <row r="12" spans="1:30" s="1338" customFormat="1" ht="27">
      <c r="A12" s="2942"/>
      <c r="B12" s="2947" t="s">
        <v>2759</v>
      </c>
      <c r="C12" s="910"/>
      <c r="D12" s="255">
        <v>100</v>
      </c>
      <c r="E12" s="529"/>
      <c r="F12" s="255">
        <f>ROUND(100/'数据-取费表'!G16,0)</f>
        <v>108</v>
      </c>
      <c r="G12" s="530"/>
      <c r="H12" s="255">
        <f>ROUND(100/'数据-取费表'!G16,0)</f>
        <v>108</v>
      </c>
      <c r="I12" s="530"/>
      <c r="J12" s="255">
        <f>ROUND(100/'数据-取费表'!G16,0)</f>
        <v>108</v>
      </c>
      <c r="K12" s="531"/>
      <c r="L12" s="2140"/>
      <c r="M12" s="2134"/>
      <c r="N12" s="2134"/>
      <c r="O12" s="2141"/>
      <c r="P12" s="3671"/>
      <c r="Q12" s="1151" t="str">
        <f t="shared" si="6"/>
        <v>土地使用年限（年）</v>
      </c>
      <c r="R12" s="1569" t="s">
        <v>8</v>
      </c>
      <c r="S12" s="1570">
        <f t="shared" si="0"/>
        <v>108</v>
      </c>
      <c r="T12" s="1569" t="s">
        <v>8</v>
      </c>
      <c r="U12" s="1570">
        <f t="shared" si="1"/>
        <v>108</v>
      </c>
      <c r="V12" s="1569" t="s">
        <v>8</v>
      </c>
      <c r="W12" s="1570">
        <f t="shared" si="2"/>
        <v>108</v>
      </c>
      <c r="X12" s="1571"/>
      <c r="Y12" s="3617"/>
      <c r="Z12" s="1150" t="str">
        <f t="shared" si="7"/>
        <v>土地使用年限（年）</v>
      </c>
      <c r="AA12" s="1572">
        <f t="shared" si="3"/>
        <v>0.92592592592592593</v>
      </c>
      <c r="AB12" s="1572">
        <f t="shared" si="4"/>
        <v>0.92592592592592593</v>
      </c>
      <c r="AC12" s="1572">
        <f t="shared" si="5"/>
        <v>0.92592592592592593</v>
      </c>
    </row>
    <row r="13" spans="1:30" ht="20.25">
      <c r="A13" s="2943"/>
      <c r="B13" s="2947" t="s">
        <v>2760</v>
      </c>
      <c r="C13" s="534">
        <f>'数据-汇总表'!I6</f>
        <v>1.05</v>
      </c>
      <c r="D13" s="255">
        <v>100</v>
      </c>
      <c r="E13" s="533">
        <f>土地案例!F3</f>
        <v>1.1000000000000001</v>
      </c>
      <c r="F13" s="255">
        <f>LOOKUP(E13,82:82,83:83)-LOOKUP(C13,82:82,83:83)+100</f>
        <v>100</v>
      </c>
      <c r="G13" s="534">
        <f>土地案例!F7</f>
        <v>1.1000000000000001</v>
      </c>
      <c r="H13" s="255">
        <f>LOOKUP(G13,82:82,83:83)-LOOKUP(C13,82:82,83:83)+100</f>
        <v>100</v>
      </c>
      <c r="I13" s="533">
        <f>土地案例!F8</f>
        <v>1.5</v>
      </c>
      <c r="J13" s="255">
        <f>LOOKUP(I13,82:82,83:83)-LOOKUP(C13,82:82,83:83)+100</f>
        <v>99</v>
      </c>
      <c r="K13" s="535">
        <v>1</v>
      </c>
      <c r="L13" s="2142"/>
      <c r="M13" s="2134"/>
      <c r="N13" s="2134"/>
      <c r="O13" s="2143"/>
      <c r="P13" s="3671"/>
      <c r="Q13" s="1151" t="str">
        <f t="shared" si="6"/>
        <v>容积率</v>
      </c>
      <c r="R13" s="1569" t="s">
        <v>8</v>
      </c>
      <c r="S13" s="1570">
        <f t="shared" si="0"/>
        <v>100</v>
      </c>
      <c r="T13" s="1569" t="s">
        <v>8</v>
      </c>
      <c r="U13" s="1570">
        <f t="shared" si="1"/>
        <v>100</v>
      </c>
      <c r="V13" s="1569" t="s">
        <v>8</v>
      </c>
      <c r="W13" s="1570">
        <f t="shared" si="2"/>
        <v>99</v>
      </c>
      <c r="X13" s="1571"/>
      <c r="Y13" s="3617"/>
      <c r="Z13" s="1150" t="str">
        <f t="shared" si="7"/>
        <v>容积率</v>
      </c>
      <c r="AA13" s="1572">
        <f t="shared" si="3"/>
        <v>1</v>
      </c>
      <c r="AB13" s="1572">
        <f t="shared" si="4"/>
        <v>1</v>
      </c>
      <c r="AC13" s="1572">
        <f t="shared" si="5"/>
        <v>1.0101010101010102</v>
      </c>
    </row>
    <row r="14" spans="1:30" s="1220" customFormat="1" ht="20.25">
      <c r="A14" s="2940"/>
      <c r="B14" s="2949" t="s">
        <v>2761</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71"/>
      <c r="Q14" s="1151" t="str">
        <f t="shared" si="6"/>
        <v>配建</v>
      </c>
      <c r="R14" s="1569" t="s">
        <v>8</v>
      </c>
      <c r="S14" s="1570">
        <f t="shared" si="0"/>
        <v>100</v>
      </c>
      <c r="T14" s="1569" t="s">
        <v>8</v>
      </c>
      <c r="U14" s="1570">
        <f t="shared" si="1"/>
        <v>100</v>
      </c>
      <c r="V14" s="1569" t="s">
        <v>8</v>
      </c>
      <c r="W14" s="1570">
        <f t="shared" si="2"/>
        <v>100</v>
      </c>
      <c r="X14" s="1571"/>
      <c r="Y14" s="3617"/>
      <c r="Z14" s="1150" t="str">
        <f t="shared" si="7"/>
        <v>配建</v>
      </c>
      <c r="AA14" s="1572">
        <f>D14/F14</f>
        <v>1</v>
      </c>
      <c r="AB14" s="1572">
        <f>D14/H14</f>
        <v>1</v>
      </c>
      <c r="AC14" s="1572">
        <f>D14/J14</f>
        <v>1</v>
      </c>
    </row>
    <row r="15" spans="1:30" ht="20.25">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71"/>
      <c r="Q15" s="1151">
        <f t="shared" si="6"/>
        <v>111</v>
      </c>
      <c r="R15" s="1569" t="s">
        <v>8</v>
      </c>
      <c r="S15" s="1570">
        <f t="shared" si="0"/>
        <v>100</v>
      </c>
      <c r="T15" s="1569" t="s">
        <v>8</v>
      </c>
      <c r="U15" s="1570">
        <f t="shared" si="1"/>
        <v>100</v>
      </c>
      <c r="V15" s="1569" t="s">
        <v>8</v>
      </c>
      <c r="W15" s="1570">
        <f t="shared" si="2"/>
        <v>100</v>
      </c>
      <c r="X15" s="1571"/>
      <c r="Y15" s="3617"/>
      <c r="Z15" s="1150">
        <f t="shared" si="7"/>
        <v>111</v>
      </c>
      <c r="AA15" s="1572">
        <f>D15/F15</f>
        <v>1</v>
      </c>
      <c r="AB15" s="1572">
        <f>D15/H15</f>
        <v>1</v>
      </c>
      <c r="AC15" s="1572">
        <f>D15/J15</f>
        <v>1</v>
      </c>
    </row>
    <row r="16" spans="1:30" ht="2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71"/>
      <c r="Q16" s="1151">
        <f t="shared" si="6"/>
        <v>111</v>
      </c>
      <c r="R16" s="1569" t="s">
        <v>8</v>
      </c>
      <c r="S16" s="1570">
        <f t="shared" si="0"/>
        <v>100</v>
      </c>
      <c r="T16" s="1569" t="s">
        <v>8</v>
      </c>
      <c r="U16" s="1570">
        <f t="shared" si="1"/>
        <v>100</v>
      </c>
      <c r="V16" s="1569" t="s">
        <v>8</v>
      </c>
      <c r="W16" s="1570">
        <f t="shared" si="2"/>
        <v>100</v>
      </c>
      <c r="X16" s="1571"/>
      <c r="Y16" s="3617"/>
      <c r="Z16" s="1150">
        <f t="shared" si="7"/>
        <v>111</v>
      </c>
      <c r="AA16" s="1572">
        <f>D16/F16</f>
        <v>1</v>
      </c>
      <c r="AB16" s="1572">
        <f>D16/H16</f>
        <v>1</v>
      </c>
      <c r="AC16" s="1572">
        <f>D16/J16</f>
        <v>1</v>
      </c>
    </row>
    <row r="17" spans="1:29" ht="99.75">
      <c r="A17" s="2937" t="s">
        <v>2756</v>
      </c>
      <c r="B17" s="578" t="s">
        <v>293</v>
      </c>
      <c r="C17" s="548" t="str">
        <f>估价对象房地状况!C15</f>
        <v>估价对象周边居住用地比例、居住小区规模和社区发展完善程度，综合评价居住社区成熟度一般</v>
      </c>
      <c r="D17" s="551">
        <v>100</v>
      </c>
      <c r="E17" s="552"/>
      <c r="F17" s="549">
        <f>SUMIF(90:90,E18,91:91)-SUMIF(90:90,C18,91:91)+100</f>
        <v>110</v>
      </c>
      <c r="G17" s="550"/>
      <c r="H17" s="549">
        <f>SUMIF(90:90,G18,91:91)-SUMIF(90:90,C18,91:91)+100</f>
        <v>110</v>
      </c>
      <c r="I17" s="552"/>
      <c r="J17" s="549">
        <f>SUMIF(90:90,I18,91:91)-SUMIF(90:90,C18,91:91)+100</f>
        <v>110</v>
      </c>
      <c r="K17" s="535">
        <v>10</v>
      </c>
      <c r="L17" s="2144"/>
      <c r="M17" s="2134"/>
      <c r="N17" s="2134"/>
      <c r="O17" s="2143"/>
      <c r="P17" s="3705" t="s">
        <v>539</v>
      </c>
      <c r="Q17" s="1573" t="str">
        <f t="shared" si="6"/>
        <v>居住社区成熟度</v>
      </c>
      <c r="R17" s="1574" t="s">
        <v>8</v>
      </c>
      <c r="S17" s="1575">
        <f t="shared" si="0"/>
        <v>110</v>
      </c>
      <c r="T17" s="1574" t="s">
        <v>8</v>
      </c>
      <c r="U17" s="1575">
        <f t="shared" si="1"/>
        <v>110</v>
      </c>
      <c r="V17" s="1574" t="s">
        <v>8</v>
      </c>
      <c r="W17" s="1575">
        <f t="shared" si="2"/>
        <v>110</v>
      </c>
      <c r="X17" s="1568"/>
      <c r="Y17" s="3705" t="s">
        <v>539</v>
      </c>
      <c r="Z17" s="1576" t="str">
        <f t="shared" si="7"/>
        <v>居住社区成熟度</v>
      </c>
      <c r="AA17" s="1577">
        <f t="shared" si="3"/>
        <v>0.90909090909090906</v>
      </c>
      <c r="AB17" s="1577">
        <f t="shared" si="4"/>
        <v>0.90909090909090906</v>
      </c>
      <c r="AC17" s="1577">
        <f t="shared" si="5"/>
        <v>0.90909090909090906</v>
      </c>
    </row>
    <row r="18" spans="1:29" ht="20.25">
      <c r="A18" s="532"/>
      <c r="B18" s="553"/>
      <c r="C18" s="554" t="s">
        <v>3256</v>
      </c>
      <c r="D18" s="557"/>
      <c r="E18" s="558" t="s">
        <v>3257</v>
      </c>
      <c r="F18" s="555"/>
      <c r="G18" s="558" t="s">
        <v>3257</v>
      </c>
      <c r="H18" s="559"/>
      <c r="I18" s="558" t="s">
        <v>3257</v>
      </c>
      <c r="J18" s="555"/>
      <c r="K18" s="531"/>
      <c r="L18" s="2144"/>
      <c r="M18" s="2134"/>
      <c r="N18" s="2134"/>
      <c r="O18" s="2143"/>
      <c r="P18" s="3706"/>
      <c r="Q18" s="1573"/>
      <c r="R18" s="1574"/>
      <c r="S18" s="1575"/>
      <c r="T18" s="1574"/>
      <c r="U18" s="1575"/>
      <c r="V18" s="1574"/>
      <c r="W18" s="1575"/>
      <c r="X18" s="1568"/>
      <c r="Y18" s="3706"/>
      <c r="Z18" s="1576"/>
      <c r="AA18" s="1577">
        <v>1</v>
      </c>
      <c r="AB18" s="1577">
        <v>1</v>
      </c>
      <c r="AC18" s="1577">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706"/>
      <c r="Q19" s="1573" t="str">
        <f>B19</f>
        <v>商业繁华度</v>
      </c>
      <c r="R19" s="1574" t="s">
        <v>8</v>
      </c>
      <c r="S19" s="1575">
        <f>F19</f>
        <v>100</v>
      </c>
      <c r="T19" s="1574" t="s">
        <v>8</v>
      </c>
      <c r="U19" s="1575">
        <f>H19</f>
        <v>100</v>
      </c>
      <c r="V19" s="1574" t="s">
        <v>8</v>
      </c>
      <c r="W19" s="1575">
        <f>J19</f>
        <v>100</v>
      </c>
      <c r="X19" s="1568"/>
      <c r="Y19" s="3706"/>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706"/>
      <c r="Q20" s="1573"/>
      <c r="R20" s="1574"/>
      <c r="S20" s="1575"/>
      <c r="T20" s="1574"/>
      <c r="U20" s="1575"/>
      <c r="V20" s="1574"/>
      <c r="W20" s="1575"/>
      <c r="X20" s="1568"/>
      <c r="Y20" s="3706"/>
      <c r="Z20" s="1576"/>
      <c r="AA20" s="1577">
        <v>1</v>
      </c>
      <c r="AB20" s="1577">
        <v>1</v>
      </c>
      <c r="AC20" s="1577">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706"/>
      <c r="Q21" s="1573" t="str">
        <f>B21</f>
        <v>办公集聚程度</v>
      </c>
      <c r="R21" s="1574" t="s">
        <v>8</v>
      </c>
      <c r="S21" s="1575">
        <f>F21</f>
        <v>100</v>
      </c>
      <c r="T21" s="1574" t="s">
        <v>8</v>
      </c>
      <c r="U21" s="1575">
        <f>H21</f>
        <v>100</v>
      </c>
      <c r="V21" s="1574" t="s">
        <v>8</v>
      </c>
      <c r="W21" s="1575">
        <f>J21</f>
        <v>100</v>
      </c>
      <c r="X21" s="1568"/>
      <c r="Y21" s="370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706"/>
      <c r="Q22" s="1573"/>
      <c r="R22" s="1574"/>
      <c r="S22" s="1575"/>
      <c r="T22" s="1574"/>
      <c r="U22" s="1575"/>
      <c r="V22" s="1574"/>
      <c r="W22" s="1575"/>
      <c r="X22" s="1568"/>
      <c r="Y22" s="3706"/>
      <c r="Z22" s="1576"/>
      <c r="AA22" s="1577">
        <v>1</v>
      </c>
      <c r="AB22" s="1577">
        <v>1</v>
      </c>
      <c r="AC22" s="1577">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706"/>
      <c r="Q23" s="1573" t="str">
        <f>B23</f>
        <v>交通便捷度</v>
      </c>
      <c r="R23" s="1574" t="s">
        <v>8</v>
      </c>
      <c r="S23" s="1575">
        <f>F23</f>
        <v>100</v>
      </c>
      <c r="T23" s="1574" t="s">
        <v>8</v>
      </c>
      <c r="U23" s="1575">
        <f>H23</f>
        <v>100</v>
      </c>
      <c r="V23" s="1574" t="s">
        <v>8</v>
      </c>
      <c r="W23" s="1575">
        <f>J23</f>
        <v>100</v>
      </c>
      <c r="X23" s="1568"/>
      <c r="Y23" s="3706"/>
      <c r="Z23" s="1576" t="str">
        <f>Q23</f>
        <v>交通便捷度</v>
      </c>
      <c r="AA23" s="1577">
        <f t="shared" si="3"/>
        <v>1</v>
      </c>
      <c r="AB23" s="1577">
        <f t="shared" si="4"/>
        <v>1</v>
      </c>
      <c r="AC23" s="1577">
        <f t="shared" si="5"/>
        <v>1</v>
      </c>
    </row>
    <row r="24" spans="1:29" ht="20.25">
      <c r="A24" s="532"/>
      <c r="B24" s="578"/>
      <c r="C24" s="554" t="s">
        <v>3257</v>
      </c>
      <c r="D24" s="557"/>
      <c r="E24" s="554" t="s">
        <v>3257</v>
      </c>
      <c r="F24" s="555"/>
      <c r="G24" s="554" t="s">
        <v>3257</v>
      </c>
      <c r="H24" s="555"/>
      <c r="I24" s="554" t="s">
        <v>3257</v>
      </c>
      <c r="J24" s="555"/>
      <c r="K24" s="531"/>
      <c r="L24" s="2144"/>
      <c r="M24" s="2134"/>
      <c r="N24" s="2134"/>
      <c r="O24" s="2143"/>
      <c r="P24" s="3706"/>
      <c r="Q24" s="1573"/>
      <c r="R24" s="1574"/>
      <c r="S24" s="1575"/>
      <c r="T24" s="1574"/>
      <c r="U24" s="1575"/>
      <c r="V24" s="1574"/>
      <c r="W24" s="1575"/>
      <c r="X24" s="1568"/>
      <c r="Y24" s="3706"/>
      <c r="Z24" s="1576"/>
      <c r="AA24" s="1577">
        <v>1</v>
      </c>
      <c r="AB24" s="1577">
        <v>1</v>
      </c>
      <c r="AC24" s="1577">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706"/>
      <c r="Q25" s="1573" t="str">
        <f t="shared" ref="Q25:Q39" si="8">B25</f>
        <v>区域土地利用方向</v>
      </c>
      <c r="R25" s="1574" t="s">
        <v>8</v>
      </c>
      <c r="S25" s="1575">
        <f>F25</f>
        <v>100</v>
      </c>
      <c r="T25" s="1574" t="s">
        <v>8</v>
      </c>
      <c r="U25" s="1575">
        <f>H25</f>
        <v>100</v>
      </c>
      <c r="V25" s="1574" t="s">
        <v>8</v>
      </c>
      <c r="W25" s="1575">
        <f>J25</f>
        <v>100</v>
      </c>
      <c r="X25" s="1568"/>
      <c r="Y25" s="3706"/>
      <c r="Z25" s="1576" t="str">
        <f>Q25</f>
        <v>区域土地利用方向</v>
      </c>
      <c r="AA25" s="1577">
        <f t="shared" si="3"/>
        <v>1</v>
      </c>
      <c r="AB25" s="1577">
        <f t="shared" si="4"/>
        <v>1</v>
      </c>
      <c r="AC25" s="1577">
        <f t="shared" si="5"/>
        <v>1</v>
      </c>
    </row>
    <row r="26" spans="1:29" ht="20.25">
      <c r="A26" s="515"/>
      <c r="B26" s="1007"/>
      <c r="C26" s="554" t="s">
        <v>3257</v>
      </c>
      <c r="D26" s="557"/>
      <c r="E26" s="554" t="s">
        <v>3257</v>
      </c>
      <c r="F26" s="555"/>
      <c r="G26" s="554" t="s">
        <v>3257</v>
      </c>
      <c r="H26" s="555"/>
      <c r="I26" s="554" t="s">
        <v>3257</v>
      </c>
      <c r="J26" s="555"/>
      <c r="K26" s="531"/>
      <c r="L26" s="2144"/>
      <c r="M26" s="2134"/>
      <c r="N26" s="2134"/>
      <c r="O26" s="2143"/>
      <c r="P26" s="3706"/>
      <c r="Q26" s="1573"/>
      <c r="R26" s="1574"/>
      <c r="S26" s="1575"/>
      <c r="T26" s="1574"/>
      <c r="U26" s="1575"/>
      <c r="V26" s="1574"/>
      <c r="W26" s="1575"/>
      <c r="X26" s="1568"/>
      <c r="Y26" s="3706"/>
      <c r="Z26" s="1576"/>
      <c r="AA26" s="1577"/>
      <c r="AB26" s="1577"/>
      <c r="AC26" s="1577"/>
    </row>
    <row r="27" spans="1:29" ht="57">
      <c r="A27" s="515"/>
      <c r="B27" s="578" t="s">
        <v>544</v>
      </c>
      <c r="C27" s="561" t="str">
        <f>估价对象房地状况!C20</f>
        <v>区域自然环境：；人文环境；综合评价环境状况一般</v>
      </c>
      <c r="D27" s="563">
        <v>100</v>
      </c>
      <c r="E27" s="564"/>
      <c r="F27" s="559">
        <f>SUMIF(100:100,E28,101:101)-SUMIF(100:100,C28,101:101)+100</f>
        <v>108</v>
      </c>
      <c r="G27" s="562"/>
      <c r="H27" s="559">
        <f>SUMIF(100:100,G28,101:101)-SUMIF(100:100,C28,101:101)+100</f>
        <v>108</v>
      </c>
      <c r="I27" s="564"/>
      <c r="J27" s="559">
        <f>SUMIF(100:100,I28,101:101)-SUMIF(100:100,C28,101:101)+100</f>
        <v>108</v>
      </c>
      <c r="K27" s="535">
        <v>8</v>
      </c>
      <c r="L27" s="2144"/>
      <c r="M27" s="2134"/>
      <c r="N27" s="2134"/>
      <c r="O27" s="2143"/>
      <c r="P27" s="3706"/>
      <c r="Q27" s="1573" t="str">
        <f t="shared" si="8"/>
        <v>自然及人文环境状况</v>
      </c>
      <c r="R27" s="1574" t="s">
        <v>8</v>
      </c>
      <c r="S27" s="1575">
        <f>F27</f>
        <v>108</v>
      </c>
      <c r="T27" s="1574" t="s">
        <v>8</v>
      </c>
      <c r="U27" s="1575">
        <f>H27</f>
        <v>108</v>
      </c>
      <c r="V27" s="1574" t="s">
        <v>8</v>
      </c>
      <c r="W27" s="1575">
        <f>J27</f>
        <v>108</v>
      </c>
      <c r="X27" s="1568"/>
      <c r="Y27" s="3706"/>
      <c r="Z27" s="1576" t="str">
        <f>Q27</f>
        <v>自然及人文环境状况</v>
      </c>
      <c r="AA27" s="1577">
        <f t="shared" si="3"/>
        <v>0.92592592592592593</v>
      </c>
      <c r="AB27" s="1577">
        <f t="shared" si="4"/>
        <v>0.92592592592592593</v>
      </c>
      <c r="AC27" s="1577">
        <f t="shared" si="5"/>
        <v>0.92592592592592593</v>
      </c>
    </row>
    <row r="28" spans="1:29" ht="20.25">
      <c r="A28" s="515"/>
      <c r="B28" s="566"/>
      <c r="C28" s="554" t="s">
        <v>3256</v>
      </c>
      <c r="D28" s="557"/>
      <c r="E28" s="576" t="s">
        <v>3257</v>
      </c>
      <c r="F28" s="555"/>
      <c r="G28" s="576" t="s">
        <v>3257</v>
      </c>
      <c r="H28" s="555"/>
      <c r="I28" s="576" t="s">
        <v>3257</v>
      </c>
      <c r="J28" s="555"/>
      <c r="K28" s="531"/>
      <c r="L28" s="2144"/>
      <c r="M28" s="2134"/>
      <c r="N28" s="2134"/>
      <c r="O28" s="2143"/>
      <c r="P28" s="3706"/>
      <c r="Q28" s="1573"/>
      <c r="R28" s="1574"/>
      <c r="S28" s="1575"/>
      <c r="T28" s="1574"/>
      <c r="U28" s="1575"/>
      <c r="V28" s="1574"/>
      <c r="W28" s="1575"/>
      <c r="X28" s="1568"/>
      <c r="Y28" s="3706"/>
      <c r="Z28" s="1576"/>
      <c r="AA28" s="1577">
        <v>1</v>
      </c>
      <c r="AB28" s="1577">
        <v>1</v>
      </c>
      <c r="AC28" s="1577">
        <v>1</v>
      </c>
    </row>
    <row r="29" spans="1:29" s="1220" customFormat="1" ht="42.75">
      <c r="A29" s="577"/>
      <c r="B29" s="2617"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706"/>
      <c r="Q29" s="1151" t="str">
        <f t="shared" si="8"/>
        <v>公共配套设施</v>
      </c>
      <c r="R29" s="1569" t="s">
        <v>8</v>
      </c>
      <c r="S29" s="1570">
        <f>F29</f>
        <v>100</v>
      </c>
      <c r="T29" s="1569" t="s">
        <v>8</v>
      </c>
      <c r="U29" s="1570">
        <f>H29</f>
        <v>100</v>
      </c>
      <c r="V29" s="1569" t="s">
        <v>8</v>
      </c>
      <c r="W29" s="1570">
        <f>J29</f>
        <v>100</v>
      </c>
      <c r="X29" s="1571"/>
      <c r="Y29" s="3706"/>
      <c r="Z29" s="1150" t="str">
        <f>Q29</f>
        <v>公共配套设施</v>
      </c>
      <c r="AA29" s="1577">
        <f>D29/F29</f>
        <v>1</v>
      </c>
      <c r="AB29" s="1577">
        <f>D29/H29</f>
        <v>1</v>
      </c>
      <c r="AC29" s="1577">
        <f>D29/J29</f>
        <v>1</v>
      </c>
    </row>
    <row r="30" spans="1:29" s="1220" customFormat="1" ht="20.25">
      <c r="A30" s="577"/>
      <c r="B30" s="566"/>
      <c r="C30" s="579" t="s">
        <v>3257</v>
      </c>
      <c r="D30" s="557"/>
      <c r="E30" s="579" t="s">
        <v>3257</v>
      </c>
      <c r="F30" s="555"/>
      <c r="G30" s="579" t="s">
        <v>3257</v>
      </c>
      <c r="H30" s="555"/>
      <c r="I30" s="579" t="s">
        <v>3257</v>
      </c>
      <c r="J30" s="555"/>
      <c r="K30" s="531"/>
      <c r="L30" s="2137"/>
      <c r="M30" s="2134"/>
      <c r="N30" s="2134"/>
      <c r="O30" s="2139"/>
      <c r="P30" s="3706"/>
      <c r="Q30" s="1151"/>
      <c r="R30" s="1569"/>
      <c r="S30" s="1570"/>
      <c r="T30" s="1569"/>
      <c r="U30" s="1570"/>
      <c r="V30" s="1569"/>
      <c r="W30" s="1570"/>
      <c r="X30" s="1571"/>
      <c r="Y30" s="3706"/>
      <c r="Z30" s="1150"/>
      <c r="AA30" s="1577">
        <v>1</v>
      </c>
      <c r="AB30" s="1577">
        <v>1</v>
      </c>
      <c r="AC30" s="1577">
        <v>1</v>
      </c>
    </row>
    <row r="31" spans="1:29" s="1220" customFormat="1" ht="28.5">
      <c r="A31" s="577"/>
      <c r="B31" s="2617"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706"/>
      <c r="Q31" s="2604" t="str">
        <f t="shared" ref="Q31" si="9">B31</f>
        <v>基础设施水平</v>
      </c>
      <c r="R31" s="1569" t="s">
        <v>8</v>
      </c>
      <c r="S31" s="1570">
        <f>F31</f>
        <v>100</v>
      </c>
      <c r="T31" s="1569" t="s">
        <v>8</v>
      </c>
      <c r="U31" s="1570">
        <f>H31</f>
        <v>100</v>
      </c>
      <c r="V31" s="1569" t="s">
        <v>8</v>
      </c>
      <c r="W31" s="1570">
        <f>J31</f>
        <v>100</v>
      </c>
      <c r="X31" s="1571"/>
      <c r="Y31" s="3706"/>
      <c r="Z31" s="2601" t="str">
        <f>Q31</f>
        <v>基础设施水平</v>
      </c>
      <c r="AA31" s="1577">
        <f>D31/F31</f>
        <v>1</v>
      </c>
      <c r="AB31" s="1577">
        <f>D31/H31</f>
        <v>1</v>
      </c>
      <c r="AC31" s="1577">
        <f>D31/J31</f>
        <v>1</v>
      </c>
    </row>
    <row r="32" spans="1:29" s="1220" customFormat="1" ht="20.25">
      <c r="A32" s="577"/>
      <c r="B32" s="566"/>
      <c r="C32" s="579" t="s">
        <v>3258</v>
      </c>
      <c r="D32" s="557"/>
      <c r="E32" s="579" t="s">
        <v>3258</v>
      </c>
      <c r="F32" s="555"/>
      <c r="G32" s="579" t="s">
        <v>3258</v>
      </c>
      <c r="H32" s="555"/>
      <c r="I32" s="579" t="s">
        <v>3258</v>
      </c>
      <c r="J32" s="555"/>
      <c r="K32" s="531"/>
      <c r="L32" s="2137"/>
      <c r="M32" s="2134"/>
      <c r="N32" s="2134"/>
      <c r="O32" s="2139"/>
      <c r="P32" s="3706"/>
      <c r="Q32" s="2604"/>
      <c r="R32" s="1569"/>
      <c r="S32" s="1570"/>
      <c r="T32" s="1569"/>
      <c r="U32" s="1570"/>
      <c r="V32" s="1569"/>
      <c r="W32" s="1570"/>
      <c r="X32" s="1571"/>
      <c r="Y32" s="3706"/>
      <c r="Z32" s="2601"/>
      <c r="AA32" s="1577">
        <v>1</v>
      </c>
      <c r="AB32" s="1577">
        <v>1</v>
      </c>
      <c r="AC32" s="1577">
        <v>1</v>
      </c>
    </row>
    <row r="33" spans="1:29" ht="20.25">
      <c r="A33" s="532"/>
      <c r="B33" s="566" t="s">
        <v>546</v>
      </c>
      <c r="C33" s="580" t="s">
        <v>3259</v>
      </c>
      <c r="D33" s="575">
        <v>100</v>
      </c>
      <c r="E33" s="580" t="s">
        <v>3259</v>
      </c>
      <c r="F33" s="540">
        <f>SUMIF(106:106,E33,107:107)-SUMIF(106:106,C33,107:107)+100</f>
        <v>100</v>
      </c>
      <c r="G33" s="580" t="s">
        <v>3259</v>
      </c>
      <c r="H33" s="540">
        <f>SUMIF(106:106,G33,107:107)-SUMIF(106:106,C33,107:107)+100</f>
        <v>100</v>
      </c>
      <c r="I33" s="580" t="s">
        <v>3259</v>
      </c>
      <c r="J33" s="540">
        <f>SUMIF(106:106,I33,107:107)-SUMIF(106:106,C33,107:107)+100</f>
        <v>100</v>
      </c>
      <c r="K33" s="535"/>
      <c r="L33" s="2144"/>
      <c r="M33" s="2134"/>
      <c r="N33" s="2134"/>
      <c r="O33" s="2143"/>
      <c r="P33" s="370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706"/>
      <c r="Z33" s="1576" t="str">
        <f t="shared" ref="Z33:Z47" si="13">Q33</f>
        <v>临街状况</v>
      </c>
      <c r="AA33" s="1577">
        <f t="shared" si="3"/>
        <v>1</v>
      </c>
      <c r="AB33" s="1577">
        <f t="shared" si="4"/>
        <v>1</v>
      </c>
      <c r="AC33" s="1577">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706"/>
      <c r="Q34" s="1573" t="str">
        <f t="shared" si="8"/>
        <v>毗邻道路的类型与等级</v>
      </c>
      <c r="R34" s="1574" t="s">
        <v>8</v>
      </c>
      <c r="S34" s="1575">
        <f t="shared" si="10"/>
        <v>100</v>
      </c>
      <c r="T34" s="1574" t="s">
        <v>8</v>
      </c>
      <c r="U34" s="1575">
        <f t="shared" si="11"/>
        <v>100</v>
      </c>
      <c r="V34" s="1574" t="s">
        <v>8</v>
      </c>
      <c r="W34" s="1575">
        <f t="shared" si="12"/>
        <v>100</v>
      </c>
      <c r="X34" s="1568"/>
      <c r="Y34" s="3706"/>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706"/>
      <c r="Q35" s="1573"/>
      <c r="R35" s="1574"/>
      <c r="S35" s="1575"/>
      <c r="T35" s="1574"/>
      <c r="U35" s="1575"/>
      <c r="V35" s="1574"/>
      <c r="W35" s="1575"/>
      <c r="X35" s="1568"/>
      <c r="Y35" s="3706"/>
      <c r="Z35" s="1576"/>
      <c r="AA35" s="1577">
        <v>1</v>
      </c>
      <c r="AB35" s="1577">
        <v>1</v>
      </c>
      <c r="AC35" s="1577">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706"/>
      <c r="Q36" s="1573" t="str">
        <f t="shared" si="8"/>
        <v>土地级别</v>
      </c>
      <c r="R36" s="1574" t="s">
        <v>8</v>
      </c>
      <c r="S36" s="1575">
        <f t="shared" si="10"/>
        <v>100</v>
      </c>
      <c r="T36" s="1574" t="s">
        <v>8</v>
      </c>
      <c r="U36" s="1575">
        <f t="shared" si="11"/>
        <v>100</v>
      </c>
      <c r="V36" s="1574" t="s">
        <v>8</v>
      </c>
      <c r="W36" s="1575">
        <f t="shared" si="12"/>
        <v>100</v>
      </c>
      <c r="X36" s="1568"/>
      <c r="Y36" s="370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706"/>
      <c r="Q37" s="1573">
        <f t="shared" si="8"/>
        <v>111</v>
      </c>
      <c r="R37" s="1574" t="s">
        <v>8</v>
      </c>
      <c r="S37" s="1575">
        <f t="shared" si="10"/>
        <v>100</v>
      </c>
      <c r="T37" s="1574" t="s">
        <v>8</v>
      </c>
      <c r="U37" s="1575">
        <f t="shared" si="11"/>
        <v>100</v>
      </c>
      <c r="V37" s="1574" t="s">
        <v>8</v>
      </c>
      <c r="W37" s="1575">
        <f t="shared" si="12"/>
        <v>100</v>
      </c>
      <c r="X37" s="1568"/>
      <c r="Y37" s="370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707" t="s">
        <v>549</v>
      </c>
      <c r="Q38" s="1573">
        <f t="shared" si="8"/>
        <v>111</v>
      </c>
      <c r="R38" s="1574" t="s">
        <v>8</v>
      </c>
      <c r="S38" s="1575">
        <f t="shared" si="10"/>
        <v>100</v>
      </c>
      <c r="T38" s="1574" t="s">
        <v>8</v>
      </c>
      <c r="U38" s="1575">
        <f t="shared" si="11"/>
        <v>100</v>
      </c>
      <c r="V38" s="1574" t="s">
        <v>8</v>
      </c>
      <c r="W38" s="1575">
        <f t="shared" si="12"/>
        <v>100</v>
      </c>
      <c r="X38" s="1568"/>
      <c r="Y38" s="3708" t="s">
        <v>549</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708"/>
      <c r="Q39" s="1573">
        <f t="shared" si="8"/>
        <v>111</v>
      </c>
      <c r="R39" s="1578" t="s">
        <v>8</v>
      </c>
      <c r="S39" s="1579">
        <f t="shared" si="10"/>
        <v>100</v>
      </c>
      <c r="T39" s="1578" t="s">
        <v>8</v>
      </c>
      <c r="U39" s="1579">
        <f t="shared" si="11"/>
        <v>100</v>
      </c>
      <c r="V39" s="1578" t="s">
        <v>8</v>
      </c>
      <c r="W39" s="1579">
        <f t="shared" si="12"/>
        <v>100</v>
      </c>
      <c r="X39" s="1580"/>
      <c r="Y39" s="3708"/>
      <c r="Z39" s="1581">
        <f t="shared" si="13"/>
        <v>111</v>
      </c>
      <c r="AA39" s="1577">
        <f t="shared" si="3"/>
        <v>1</v>
      </c>
      <c r="AB39" s="1577">
        <f t="shared" si="4"/>
        <v>1</v>
      </c>
      <c r="AC39" s="1577">
        <f t="shared" si="5"/>
        <v>1</v>
      </c>
    </row>
    <row r="40" spans="1:29" ht="20.25">
      <c r="A40" s="2934" t="s">
        <v>2757</v>
      </c>
      <c r="B40" s="595" t="s">
        <v>551</v>
      </c>
      <c r="C40" s="596">
        <f>'数据-汇总表'!D3</f>
        <v>99890.33</v>
      </c>
      <c r="D40" s="597">
        <v>100</v>
      </c>
      <c r="E40" s="596">
        <f>土地案例!D3</f>
        <v>53525.81</v>
      </c>
      <c r="F40" s="597">
        <f>LOOKUP(E40,119:119,120:120)-LOOKUP(C40,119:119,120:120)+100</f>
        <v>100</v>
      </c>
      <c r="G40" s="596">
        <f>土地案例!D7</f>
        <v>99921.81</v>
      </c>
      <c r="H40" s="597">
        <f>LOOKUP(G40,119:119,120:120)-LOOKUP(C40,119:119,120:120)+100</f>
        <v>100</v>
      </c>
      <c r="I40" s="598">
        <f>土地案例!D8</f>
        <v>59511.18</v>
      </c>
      <c r="J40" s="597">
        <f>LOOKUP(I40,119:119,120:120)-LOOKUP(C40,119:119,120:120)+100</f>
        <v>100</v>
      </c>
      <c r="K40" s="581"/>
      <c r="L40" s="2144"/>
      <c r="M40" s="2134"/>
      <c r="N40" s="2134"/>
      <c r="O40" s="2143"/>
      <c r="P40" s="3708"/>
      <c r="Q40" s="1573" t="str">
        <f>B40</f>
        <v>宗地面积</v>
      </c>
      <c r="R40" s="1574" t="s">
        <v>8</v>
      </c>
      <c r="S40" s="1575">
        <f t="shared" si="10"/>
        <v>100</v>
      </c>
      <c r="T40" s="1574" t="s">
        <v>8</v>
      </c>
      <c r="U40" s="1575">
        <f t="shared" si="11"/>
        <v>100</v>
      </c>
      <c r="V40" s="1574" t="s">
        <v>8</v>
      </c>
      <c r="W40" s="1575">
        <f t="shared" si="12"/>
        <v>100</v>
      </c>
      <c r="X40" s="1568"/>
      <c r="Y40" s="3708"/>
      <c r="Z40" s="1576" t="str">
        <f t="shared" si="13"/>
        <v>宗地面积</v>
      </c>
      <c r="AA40" s="1577">
        <f t="shared" si="3"/>
        <v>1</v>
      </c>
      <c r="AB40" s="1577">
        <f t="shared" si="4"/>
        <v>1</v>
      </c>
      <c r="AC40" s="1577">
        <f t="shared" si="5"/>
        <v>1</v>
      </c>
    </row>
    <row r="41" spans="1:29" ht="20.25">
      <c r="A41" s="594"/>
      <c r="B41" s="527" t="s">
        <v>552</v>
      </c>
      <c r="C41" s="599" t="s">
        <v>3260</v>
      </c>
      <c r="D41" s="540">
        <v>100</v>
      </c>
      <c r="E41" s="599" t="s">
        <v>3260</v>
      </c>
      <c r="F41" s="540">
        <f>SUMIF(121:121,E41,122:122)-SUMIF(121:121,C41,122:122)+100</f>
        <v>100</v>
      </c>
      <c r="G41" s="599" t="s">
        <v>3260</v>
      </c>
      <c r="H41" s="540">
        <f>SUMIF(121:121,G41,122:122)-SUMIF(121:121,C41,122:122)+100</f>
        <v>100</v>
      </c>
      <c r="I41" s="599" t="s">
        <v>3260</v>
      </c>
      <c r="J41" s="540">
        <f>SUMIF(121:121,I41,122:122)-SUMIF(121:121,C41,122:122)+100</f>
        <v>100</v>
      </c>
      <c r="K41" s="584">
        <v>2</v>
      </c>
      <c r="L41" s="2144"/>
      <c r="M41" s="2134"/>
      <c r="N41" s="2134"/>
      <c r="O41" s="2143"/>
      <c r="P41" s="3708"/>
      <c r="Q41" s="1573" t="str">
        <f t="shared" ref="Q41:Q47" si="14">B41</f>
        <v>宗地形状</v>
      </c>
      <c r="R41" s="1574" t="s">
        <v>8</v>
      </c>
      <c r="S41" s="1575">
        <f t="shared" si="10"/>
        <v>100</v>
      </c>
      <c r="T41" s="1574" t="s">
        <v>8</v>
      </c>
      <c r="U41" s="1575">
        <f t="shared" si="11"/>
        <v>100</v>
      </c>
      <c r="V41" s="1574" t="s">
        <v>8</v>
      </c>
      <c r="W41" s="1575">
        <f t="shared" si="12"/>
        <v>100</v>
      </c>
      <c r="X41" s="1568"/>
      <c r="Y41" s="3708"/>
      <c r="Z41" s="1576" t="str">
        <f t="shared" si="13"/>
        <v>宗地形状</v>
      </c>
      <c r="AA41" s="1577">
        <f t="shared" si="3"/>
        <v>1</v>
      </c>
      <c r="AB41" s="1577">
        <f t="shared" si="4"/>
        <v>1</v>
      </c>
      <c r="AC41" s="1577">
        <f t="shared" si="5"/>
        <v>1</v>
      </c>
    </row>
    <row r="42" spans="1:29" ht="20.25">
      <c r="A42" s="594"/>
      <c r="B42" s="527" t="s">
        <v>553</v>
      </c>
      <c r="C42" s="599" t="s">
        <v>3257</v>
      </c>
      <c r="D42" s="540">
        <v>100</v>
      </c>
      <c r="E42" s="599" t="s">
        <v>3257</v>
      </c>
      <c r="F42" s="540">
        <f>SUMIF(123:123,E42,124:124)-SUMIF(123:123,C42,124:124)+100</f>
        <v>100</v>
      </c>
      <c r="G42" s="599" t="s">
        <v>3257</v>
      </c>
      <c r="H42" s="540">
        <f>SUMIF(123:123,G42,124:124)-SUMIF(123:123,C42,124:124)+100</f>
        <v>100</v>
      </c>
      <c r="I42" s="599" t="s">
        <v>3257</v>
      </c>
      <c r="J42" s="540">
        <f>SUMIF(123:123,I42,124:124)-SUMIF(123:123,C42,124:124)+100</f>
        <v>100</v>
      </c>
      <c r="K42" s="584">
        <v>2</v>
      </c>
      <c r="L42" s="2144"/>
      <c r="M42" s="2134"/>
      <c r="N42" s="2134"/>
      <c r="O42" s="2143"/>
      <c r="P42" s="3708"/>
      <c r="Q42" s="1573" t="str">
        <f t="shared" si="14"/>
        <v>临街宽度及深度</v>
      </c>
      <c r="R42" s="1574" t="s">
        <v>8</v>
      </c>
      <c r="S42" s="1575">
        <f t="shared" si="10"/>
        <v>100</v>
      </c>
      <c r="T42" s="1574" t="s">
        <v>8</v>
      </c>
      <c r="U42" s="1575">
        <f t="shared" si="11"/>
        <v>100</v>
      </c>
      <c r="V42" s="1574" t="s">
        <v>8</v>
      </c>
      <c r="W42" s="1575">
        <f t="shared" si="12"/>
        <v>100</v>
      </c>
      <c r="X42" s="1568"/>
      <c r="Y42" s="3708"/>
      <c r="Z42" s="1576" t="str">
        <f t="shared" si="13"/>
        <v>临街宽度及深度</v>
      </c>
      <c r="AA42" s="1577">
        <f t="shared" si="3"/>
        <v>1</v>
      </c>
      <c r="AB42" s="1577">
        <f t="shared" si="4"/>
        <v>1</v>
      </c>
      <c r="AC42" s="1577">
        <f t="shared" si="5"/>
        <v>1</v>
      </c>
    </row>
    <row r="43" spans="1:29" s="1220" customFormat="1" ht="20.25">
      <c r="A43" s="600"/>
      <c r="B43" s="1897" t="s">
        <v>2424</v>
      </c>
      <c r="C43" s="601" t="s">
        <v>3258</v>
      </c>
      <c r="D43" s="255">
        <v>100</v>
      </c>
      <c r="E43" s="601" t="s">
        <v>3258</v>
      </c>
      <c r="F43" s="540">
        <f>SUMIF(125:125,E43,126:126)-SUMIF(125:125,C43,126:126)+100</f>
        <v>100</v>
      </c>
      <c r="G43" s="601" t="s">
        <v>3258</v>
      </c>
      <c r="H43" s="540">
        <f>SUMIF(125:125,G43,126:126)-SUMIF(125:125,C43,126:126)+100</f>
        <v>100</v>
      </c>
      <c r="I43" s="601" t="s">
        <v>3258</v>
      </c>
      <c r="J43" s="540">
        <f>SUMIF(125:125,I43,126:126)-SUMIF(125:125,C43,126:126)+100</f>
        <v>100</v>
      </c>
      <c r="K43" s="584">
        <v>1</v>
      </c>
      <c r="L43" s="2137"/>
      <c r="M43" s="2134"/>
      <c r="N43" s="2134"/>
      <c r="O43" s="2139"/>
      <c r="P43" s="3708"/>
      <c r="Q43" s="1573" t="str">
        <f t="shared" si="14"/>
        <v>宗地开发程度</v>
      </c>
      <c r="R43" s="1569" t="s">
        <v>8</v>
      </c>
      <c r="S43" s="1570">
        <f t="shared" si="10"/>
        <v>100</v>
      </c>
      <c r="T43" s="1569" t="s">
        <v>8</v>
      </c>
      <c r="U43" s="1570">
        <f t="shared" si="11"/>
        <v>100</v>
      </c>
      <c r="V43" s="1569" t="s">
        <v>8</v>
      </c>
      <c r="W43" s="1570">
        <f t="shared" si="12"/>
        <v>100</v>
      </c>
      <c r="X43" s="1571"/>
      <c r="Y43" s="3708"/>
      <c r="Z43" s="1150" t="str">
        <f t="shared" si="13"/>
        <v>宗地开发程度</v>
      </c>
      <c r="AA43" s="1572">
        <f t="shared" si="3"/>
        <v>1</v>
      </c>
      <c r="AB43" s="1572">
        <f t="shared" si="4"/>
        <v>1</v>
      </c>
      <c r="AC43" s="1572">
        <f t="shared" si="5"/>
        <v>1</v>
      </c>
    </row>
    <row r="44" spans="1:29" ht="20.25">
      <c r="A44" s="594"/>
      <c r="B44" s="527" t="s">
        <v>554</v>
      </c>
      <c r="C44" s="599" t="s">
        <v>3257</v>
      </c>
      <c r="D44" s="540">
        <v>100</v>
      </c>
      <c r="E44" s="599" t="s">
        <v>3257</v>
      </c>
      <c r="F44" s="540">
        <f>SUMIF(127:127,E44,128:128)-SUMIF(127:127,C44,128:128)+100</f>
        <v>100</v>
      </c>
      <c r="G44" s="599" t="s">
        <v>3257</v>
      </c>
      <c r="H44" s="540">
        <f>SUMIF(127:127,G44,128:128)-SUMIF(127:127,C44,128:128)+100</f>
        <v>100</v>
      </c>
      <c r="I44" s="599" t="s">
        <v>3257</v>
      </c>
      <c r="J44" s="540">
        <f>SUMIF(127:127,I44,128:128)-SUMIF(127:127,C44,128:128)+100</f>
        <v>100</v>
      </c>
      <c r="K44" s="584">
        <v>2</v>
      </c>
      <c r="L44" s="2144"/>
      <c r="M44" s="2134"/>
      <c r="N44" s="2134"/>
      <c r="O44" s="2143"/>
      <c r="P44" s="3708" t="s">
        <v>549</v>
      </c>
      <c r="Q44" s="1573" t="str">
        <f t="shared" si="14"/>
        <v>工程地质条件</v>
      </c>
      <c r="R44" s="1574" t="s">
        <v>8</v>
      </c>
      <c r="S44" s="1575">
        <f t="shared" si="10"/>
        <v>100</v>
      </c>
      <c r="T44" s="1574" t="s">
        <v>8</v>
      </c>
      <c r="U44" s="1575">
        <f t="shared" si="11"/>
        <v>100</v>
      </c>
      <c r="V44" s="1574" t="s">
        <v>8</v>
      </c>
      <c r="W44" s="1575">
        <f t="shared" si="12"/>
        <v>100</v>
      </c>
      <c r="X44" s="1568"/>
      <c r="Y44" s="3708" t="s">
        <v>549</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708"/>
      <c r="Q45" s="1573">
        <f t="shared" si="14"/>
        <v>111</v>
      </c>
      <c r="R45" s="1574" t="s">
        <v>8</v>
      </c>
      <c r="S45" s="1575">
        <f t="shared" si="10"/>
        <v>100</v>
      </c>
      <c r="T45" s="1574" t="s">
        <v>8</v>
      </c>
      <c r="U45" s="1575">
        <f t="shared" si="11"/>
        <v>100</v>
      </c>
      <c r="V45" s="1574" t="s">
        <v>8</v>
      </c>
      <c r="W45" s="1575">
        <f t="shared" si="12"/>
        <v>100</v>
      </c>
      <c r="X45" s="1568"/>
      <c r="Y45" s="370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708"/>
      <c r="Q46" s="1573">
        <f t="shared" si="14"/>
        <v>111</v>
      </c>
      <c r="R46" s="1574" t="s">
        <v>8</v>
      </c>
      <c r="S46" s="1575">
        <f t="shared" si="10"/>
        <v>100</v>
      </c>
      <c r="T46" s="1574" t="s">
        <v>8</v>
      </c>
      <c r="U46" s="1575">
        <f t="shared" si="11"/>
        <v>100</v>
      </c>
      <c r="V46" s="1574" t="s">
        <v>8</v>
      </c>
      <c r="W46" s="1575">
        <f t="shared" si="12"/>
        <v>100</v>
      </c>
      <c r="X46" s="1568"/>
      <c r="Y46" s="370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708"/>
      <c r="Q47" s="1573">
        <f t="shared" si="14"/>
        <v>111</v>
      </c>
      <c r="R47" s="1578" t="s">
        <v>8</v>
      </c>
      <c r="S47" s="1579">
        <f t="shared" si="10"/>
        <v>100</v>
      </c>
      <c r="T47" s="1578" t="s">
        <v>8</v>
      </c>
      <c r="U47" s="1579">
        <f t="shared" si="11"/>
        <v>100</v>
      </c>
      <c r="V47" s="1578" t="s">
        <v>8</v>
      </c>
      <c r="W47" s="1579">
        <f t="shared" si="12"/>
        <v>100</v>
      </c>
      <c r="X47" s="1580"/>
      <c r="Y47" s="3708"/>
      <c r="Z47" s="1581">
        <f t="shared" si="13"/>
        <v>111</v>
      </c>
      <c r="AA47" s="1577">
        <f t="shared" si="3"/>
        <v>1</v>
      </c>
      <c r="AB47" s="1577">
        <f t="shared" si="4"/>
        <v>1</v>
      </c>
      <c r="AC47" s="1577">
        <f t="shared" si="5"/>
        <v>1</v>
      </c>
    </row>
    <row r="48" spans="1:29" ht="20.25">
      <c r="A48" s="607" t="s">
        <v>555</v>
      </c>
      <c r="B48" s="608" t="s">
        <v>3280</v>
      </c>
      <c r="C48" s="609" t="s">
        <v>1</v>
      </c>
      <c r="D48" s="610"/>
      <c r="E48" s="611">
        <f>ROUND(土地案例!K3,0)</f>
        <v>57152</v>
      </c>
      <c r="F48" s="612"/>
      <c r="G48" s="613">
        <f>ROUND(土地案例!K7,0)</f>
        <v>54672</v>
      </c>
      <c r="H48" s="614"/>
      <c r="I48" s="611">
        <f xml:space="preserve">  ROUND(土地案例!K8,0)</f>
        <v>51251</v>
      </c>
      <c r="J48" s="614"/>
      <c r="K48" s="1340"/>
      <c r="L48" s="2146"/>
      <c r="M48" s="2134"/>
      <c r="N48" s="2134"/>
      <c r="O48" s="2147"/>
      <c r="P48" s="3671" t="str">
        <f>A48</f>
        <v>成交单价</v>
      </c>
      <c r="Q48" s="3671"/>
      <c r="R48" s="3672">
        <f>E48</f>
        <v>57152</v>
      </c>
      <c r="S48" s="3672"/>
      <c r="T48" s="3672">
        <f>G48</f>
        <v>54672</v>
      </c>
      <c r="U48" s="3672"/>
      <c r="V48" s="3672">
        <f>I48</f>
        <v>51251</v>
      </c>
      <c r="W48" s="3672"/>
      <c r="X48" s="1560"/>
      <c r="Y48" s="1582"/>
      <c r="Z48" s="1560"/>
      <c r="AA48" s="1560"/>
      <c r="AB48" s="1560"/>
      <c r="AC48" s="1560"/>
    </row>
    <row r="49" spans="1:29" ht="21" thickBot="1">
      <c r="A49" s="615" t="s">
        <v>2695</v>
      </c>
      <c r="B49" s="616"/>
      <c r="C49" s="617">
        <f>R50</f>
        <v>43207</v>
      </c>
      <c r="D49" s="618"/>
      <c r="E49" s="617">
        <f>R49</f>
        <v>44544</v>
      </c>
      <c r="F49" s="619"/>
      <c r="G49" s="620">
        <f>T49</f>
        <v>43481</v>
      </c>
      <c r="H49" s="618"/>
      <c r="I49" s="617">
        <f>V49</f>
        <v>41596</v>
      </c>
      <c r="J49" s="618"/>
      <c r="K49" s="1341"/>
      <c r="L49" s="2146"/>
      <c r="M49" s="2134"/>
      <c r="N49" s="2134"/>
      <c r="O49" s="2147"/>
      <c r="P49" s="3671" t="str">
        <f>A49</f>
        <v>比较价格（元/平方米）</v>
      </c>
      <c r="Q49" s="3671"/>
      <c r="R49" s="3673">
        <f>ROUND(PRODUCT(R48,AA9:AA47),0)</f>
        <v>44544</v>
      </c>
      <c r="S49" s="3673"/>
      <c r="T49" s="3673">
        <f>ROUND(PRODUCT(T48,AB9:AB47),0)</f>
        <v>43481</v>
      </c>
      <c r="U49" s="3673"/>
      <c r="V49" s="3673">
        <f>ROUND(PRODUCT(V48,AC9:AC47),0)</f>
        <v>41596</v>
      </c>
      <c r="W49" s="3673"/>
      <c r="X49" s="1560"/>
      <c r="Y49" s="1560"/>
      <c r="Z49" s="1560"/>
      <c r="AA49" s="1560"/>
      <c r="AB49" s="1560"/>
      <c r="AC49" s="1560"/>
    </row>
    <row r="50" spans="1:29" ht="21" thickBot="1">
      <c r="A50" s="621" t="s">
        <v>2936</v>
      </c>
      <c r="B50" s="622"/>
      <c r="C50" s="623">
        <f>R50</f>
        <v>43207</v>
      </c>
      <c r="D50" s="623"/>
      <c r="E50" s="623"/>
      <c r="F50" s="623"/>
      <c r="G50" s="623"/>
      <c r="H50" s="623"/>
      <c r="I50" s="623"/>
      <c r="J50" s="623"/>
      <c r="K50" s="1342"/>
      <c r="L50" s="2146"/>
      <c r="M50" s="2134"/>
      <c r="N50" s="2134"/>
      <c r="O50" s="2147"/>
      <c r="P50" s="3668" t="str">
        <f>A50</f>
        <v>估价对象XX用房的比较价格（楼面单价，元/平方米）</v>
      </c>
      <c r="Q50" s="3669"/>
      <c r="R50" s="3670">
        <f>ROUND(AVERAGE(R49:V49),0)</f>
        <v>43207</v>
      </c>
      <c r="S50" s="3670"/>
      <c r="T50" s="3670"/>
      <c r="U50" s="3670"/>
      <c r="V50" s="3670"/>
      <c r="W50" s="3670"/>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0.28304597701149414</v>
      </c>
      <c r="F53" s="627" t="str">
        <f>IF(OR(E53&gt;=0.3,E53&lt;=-0.3),"超过30%","")</f>
        <v/>
      </c>
      <c r="G53" s="626">
        <f>IF(G48&lt;G49,G49/G48-1,G48/G49-1)</f>
        <v>0.25737678526252838</v>
      </c>
      <c r="H53" s="627" t="str">
        <f>IF(OR(G53&gt;=0.3,G53&lt;=-0.3),"超过30%","")</f>
        <v/>
      </c>
      <c r="I53" s="626">
        <f>IF(I48&lt;I49,I49/I48-1,I48/I49-1)</f>
        <v>0.23211366477545914</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2.4447459810031935E-2</v>
      </c>
      <c r="F54" s="627" t="str">
        <f>IF(OR(E54&gt;=0.2,E54&lt;=-0.2),"超过20%","")</f>
        <v/>
      </c>
      <c r="G54" s="626">
        <f>IF(G49&lt;I49,I49/G49-1,G49/I49-1)</f>
        <v>4.5316857390133691E-2</v>
      </c>
      <c r="H54" s="627" t="str">
        <f>IF(OR(G54&gt;=0.2,G54&lt;=-0.2),"超过20%","")</f>
        <v/>
      </c>
      <c r="I54" s="626">
        <f>IF(I49&lt;E49,E49/I49-1,I49/E49-1)</f>
        <v>7.0872199249927936E-2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4.536142815335098E-2</v>
      </c>
      <c r="F55" s="627" t="str">
        <f>IF(OR(E55&gt;=0.3,E55&lt;=-0.3),"超过30%","")</f>
        <v/>
      </c>
      <c r="G55" s="626">
        <f>IF(G48&lt;I48,I48/G48-1,G48/I48-1)</f>
        <v>6.6749917074788723E-2</v>
      </c>
      <c r="H55" s="627" t="str">
        <f>IF(OR(G55&gt;=0.3,G55&lt;=-0.3),"超过30%","")</f>
        <v/>
      </c>
      <c r="I55" s="626">
        <f>IF(I48&lt;E48,E48/I48-1,I48/E48-1)</f>
        <v>0.11513921679576988</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1724</v>
      </c>
      <c r="D57" s="2229" t="s">
        <v>2293</v>
      </c>
      <c r="E57" s="631" t="s">
        <v>561</v>
      </c>
      <c r="F57" s="632" t="s">
        <v>562</v>
      </c>
      <c r="G57" s="3697" t="s">
        <v>2281</v>
      </c>
      <c r="H57" s="3698"/>
      <c r="I57" s="1556" t="s">
        <v>1722</v>
      </c>
      <c r="J57" s="1556">
        <f>项目基本情况!F41</f>
        <v>0</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43207</v>
      </c>
      <c r="C58" s="635">
        <v>1</v>
      </c>
      <c r="D58" s="2230">
        <v>1</v>
      </c>
      <c r="E58" s="635">
        <f>'数据-汇总表'!E8+'数据-汇总表'!E9</f>
        <v>103133.26999999999</v>
      </c>
      <c r="F58" s="636">
        <f t="shared" ref="F58:F67" si="15">ROUND(B58*E58/10000,0)</f>
        <v>445608</v>
      </c>
      <c r="G58" s="3699"/>
      <c r="H58" s="370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701"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70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70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70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2327</v>
      </c>
      <c r="B63" s="638">
        <f t="shared" si="17"/>
        <v>0</v>
      </c>
      <c r="C63" s="378">
        <f t="shared" si="16"/>
        <v>0</v>
      </c>
      <c r="D63" s="2231">
        <v>0.25</v>
      </c>
      <c r="E63" s="641">
        <f>'数据-汇总表'!E11</f>
        <v>0</v>
      </c>
      <c r="F63" s="636">
        <f t="shared" si="15"/>
        <v>0</v>
      </c>
      <c r="G63" s="1947"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2294</v>
      </c>
      <c r="E68" s="643">
        <f>IF(B48="楼面地价",SUM(E58:E67),'数据-汇总表'!D3)</f>
        <v>103133.26999999999</v>
      </c>
      <c r="F68" s="644">
        <f>IF(B48="楼面地价",SUM(F58:F67),ROUND(C50*E68/10000,0))</f>
        <v>445608</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2018-3-1</v>
      </c>
      <c r="D70" s="2826">
        <f>EDATE(C70,-3)</f>
        <v>43070</v>
      </c>
      <c r="E70" s="2826">
        <f t="shared" ref="E70:N70" si="18">EDATE(D70,-3)</f>
        <v>42979</v>
      </c>
      <c r="F70" s="2826">
        <f t="shared" si="18"/>
        <v>42887</v>
      </c>
      <c r="G70" s="2826">
        <f t="shared" si="18"/>
        <v>42795</v>
      </c>
      <c r="H70" s="2826">
        <f t="shared" si="18"/>
        <v>42705</v>
      </c>
      <c r="I70" s="2826">
        <f t="shared" si="18"/>
        <v>42614</v>
      </c>
      <c r="J70" s="2826">
        <f t="shared" si="18"/>
        <v>42522</v>
      </c>
      <c r="K70" s="2826">
        <f t="shared" si="18"/>
        <v>42430</v>
      </c>
      <c r="L70" s="2826">
        <f t="shared" si="18"/>
        <v>42339</v>
      </c>
      <c r="M70" s="2826">
        <f t="shared" si="18"/>
        <v>42248</v>
      </c>
      <c r="N70" s="2826">
        <f t="shared" si="18"/>
        <v>42156</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2534</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2649</v>
      </c>
      <c r="B73" s="479" t="str">
        <f>"北京市平均增长率"&amp;TEXT(SUMIF(基准地价!N21:N25,A73,基准地价!P21:P25),"0.00%")</f>
        <v>北京市平均增长率2.30%</v>
      </c>
      <c r="C73" s="894">
        <v>100</v>
      </c>
      <c r="D73" s="730">
        <v>99</v>
      </c>
      <c r="E73" s="730">
        <v>98</v>
      </c>
      <c r="F73" s="730">
        <v>97</v>
      </c>
      <c r="G73" s="730"/>
      <c r="H73" s="730"/>
      <c r="I73" s="730"/>
      <c r="J73" s="730"/>
      <c r="K73" s="730"/>
      <c r="L73" s="730"/>
      <c r="M73" s="2819"/>
      <c r="N73" s="2820"/>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2648</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576</v>
      </c>
      <c r="B77" s="665" t="s">
        <v>533</v>
      </c>
      <c r="C77" s="3482" t="s">
        <v>3255</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0（含）-0.5</v>
      </c>
      <c r="D81" s="682" t="str">
        <f t="shared" ref="D81:L81" si="20">D82&amp;"（含）"&amp;"-"&amp;E82</f>
        <v>0.5（含）-1</v>
      </c>
      <c r="E81" s="682" t="str">
        <f t="shared" si="20"/>
        <v>1（含）-1.5</v>
      </c>
      <c r="F81" s="682" t="str">
        <f t="shared" si="20"/>
        <v>1.5（含）-2</v>
      </c>
      <c r="G81" s="682" t="str">
        <f t="shared" si="20"/>
        <v>2（含）-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0.5</v>
      </c>
      <c r="E82" s="541">
        <v>1</v>
      </c>
      <c r="F82" s="541">
        <v>1.5</v>
      </c>
      <c r="G82" s="541">
        <v>2</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90</v>
      </c>
      <c r="E91" s="679">
        <f>D91-$K17</f>
        <v>80</v>
      </c>
      <c r="F91" s="679">
        <f>E91-$K17</f>
        <v>70</v>
      </c>
      <c r="G91" s="679">
        <f>F91-$K17</f>
        <v>60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92</v>
      </c>
      <c r="E101" s="679">
        <f>D101-$K27</f>
        <v>84</v>
      </c>
      <c r="F101" s="679">
        <f>E101-$K27</f>
        <v>76</v>
      </c>
      <c r="G101" s="679">
        <f>F101-$K27</f>
        <v>68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2552</v>
      </c>
      <c r="C104" s="2624" t="s">
        <v>2553</v>
      </c>
      <c r="D104" s="2624" t="s">
        <v>2554</v>
      </c>
      <c r="E104" s="2624" t="s">
        <v>2555</v>
      </c>
      <c r="F104" s="2624" t="s">
        <v>2556</v>
      </c>
      <c r="G104" s="2624"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484" t="s">
        <v>3265</v>
      </c>
      <c r="D108" s="3484" t="s">
        <v>3266</v>
      </c>
      <c r="E108" s="3484" t="s">
        <v>3267</v>
      </c>
      <c r="F108" s="3484" t="s">
        <v>3268</v>
      </c>
      <c r="G108" s="3484" t="s">
        <v>3269</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26">
        <v>104</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3483" t="s">
        <v>3261</v>
      </c>
      <c r="D121" s="3483" t="s">
        <v>3262</v>
      </c>
      <c r="E121" s="3483" t="s">
        <v>3263</v>
      </c>
      <c r="F121" s="3483" t="s">
        <v>3264</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3484" t="s">
        <v>3275</v>
      </c>
      <c r="D123" s="3484" t="s">
        <v>3276</v>
      </c>
      <c r="E123" s="3484" t="s">
        <v>3277</v>
      </c>
      <c r="F123" s="3483" t="s">
        <v>3278</v>
      </c>
      <c r="G123" s="3483" t="s">
        <v>3279</v>
      </c>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2425</v>
      </c>
      <c r="C125" s="1376" t="s">
        <v>3270</v>
      </c>
      <c r="D125" s="1376" t="s">
        <v>3271</v>
      </c>
      <c r="E125" s="1376" t="s">
        <v>3272</v>
      </c>
      <c r="F125" s="1376" t="s">
        <v>3273</v>
      </c>
      <c r="G125" s="1376" t="s">
        <v>3274</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3484" t="s">
        <v>3275</v>
      </c>
      <c r="D127" s="3484" t="s">
        <v>3276</v>
      </c>
      <c r="E127" s="3484" t="s">
        <v>3277</v>
      </c>
      <c r="F127" s="3483" t="s">
        <v>3278</v>
      </c>
      <c r="G127" s="3483" t="s">
        <v>3279</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467</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677" t="s">
        <v>521</v>
      </c>
      <c r="D6" s="3678"/>
      <c r="E6" s="3711" t="s">
        <v>522</v>
      </c>
      <c r="F6" s="3712"/>
      <c r="G6" s="3677" t="s">
        <v>523</v>
      </c>
      <c r="H6" s="3678"/>
      <c r="I6" s="3677" t="s">
        <v>524</v>
      </c>
      <c r="J6" s="3678"/>
      <c r="K6" s="514" t="s">
        <v>525</v>
      </c>
      <c r="L6" s="2135"/>
      <c r="M6" s="2136"/>
      <c r="N6" s="2136"/>
      <c r="O6" s="2136"/>
      <c r="P6" s="3679" t="s">
        <v>526</v>
      </c>
      <c r="Q6" s="3680"/>
      <c r="R6" s="3685" t="s">
        <v>522</v>
      </c>
      <c r="S6" s="3686"/>
      <c r="T6" s="3685" t="s">
        <v>523</v>
      </c>
      <c r="U6" s="3686"/>
      <c r="V6" s="3672" t="s">
        <v>524</v>
      </c>
      <c r="W6" s="3672"/>
      <c r="X6" s="1568"/>
      <c r="Y6" s="3685" t="s">
        <v>526</v>
      </c>
      <c r="Z6" s="3686"/>
      <c r="AA6" s="3674" t="s">
        <v>522</v>
      </c>
      <c r="AB6" s="3675" t="s">
        <v>523</v>
      </c>
      <c r="AC6" s="3674" t="s">
        <v>524</v>
      </c>
    </row>
    <row r="7" spans="1:29" ht="15">
      <c r="A7" s="515"/>
      <c r="B7" s="516"/>
      <c r="C7" s="3693" t="s">
        <v>2930</v>
      </c>
      <c r="D7" s="3694"/>
      <c r="E7" s="3713" t="s">
        <v>2931</v>
      </c>
      <c r="F7" s="3714"/>
      <c r="G7" s="3693" t="s">
        <v>2932</v>
      </c>
      <c r="H7" s="3694"/>
      <c r="I7" s="3693" t="s">
        <v>2933</v>
      </c>
      <c r="J7" s="3694"/>
      <c r="K7" s="514"/>
      <c r="L7" s="2135"/>
      <c r="M7" s="2136"/>
      <c r="N7" s="2136"/>
      <c r="O7" s="2136"/>
      <c r="P7" s="3681"/>
      <c r="Q7" s="3682"/>
      <c r="R7" s="3687"/>
      <c r="S7" s="3688"/>
      <c r="T7" s="3687"/>
      <c r="U7" s="3688"/>
      <c r="V7" s="3672"/>
      <c r="W7" s="3672"/>
      <c r="X7" s="1568"/>
      <c r="Y7" s="3687"/>
      <c r="Z7" s="3688"/>
      <c r="AA7" s="3675"/>
      <c r="AB7" s="3675"/>
      <c r="AC7" s="3675"/>
    </row>
    <row r="8" spans="1:29" ht="15.75" thickBot="1">
      <c r="A8" s="517"/>
      <c r="B8" s="518"/>
      <c r="C8" s="3691" t="s">
        <v>2934</v>
      </c>
      <c r="D8" s="3692"/>
      <c r="E8" s="3709" t="s">
        <v>2934</v>
      </c>
      <c r="F8" s="3710"/>
      <c r="G8" s="3691" t="s">
        <v>2934</v>
      </c>
      <c r="H8" s="3692"/>
      <c r="I8" s="3691" t="s">
        <v>2934</v>
      </c>
      <c r="J8" s="3692"/>
      <c r="K8" s="514" t="s">
        <v>527</v>
      </c>
      <c r="L8" s="2135"/>
      <c r="M8" s="2136"/>
      <c r="N8" s="2136"/>
      <c r="O8" s="2136"/>
      <c r="P8" s="3683"/>
      <c r="Q8" s="3684"/>
      <c r="R8" s="3687"/>
      <c r="S8" s="3688"/>
      <c r="T8" s="3689"/>
      <c r="U8" s="3690"/>
      <c r="V8" s="3672"/>
      <c r="W8" s="3672"/>
      <c r="X8" s="1568"/>
      <c r="Y8" s="3689"/>
      <c r="Z8" s="3690"/>
      <c r="AA8" s="3676"/>
      <c r="AB8" s="3676"/>
      <c r="AC8" s="3676"/>
    </row>
    <row r="9" spans="1:29" s="1220" customFormat="1" ht="15.75" thickBot="1">
      <c r="A9" s="2939"/>
      <c r="B9" s="2946" t="s">
        <v>528</v>
      </c>
      <c r="C9" s="519">
        <f>'数据-取费表'!B2</f>
        <v>43166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702" t="s">
        <v>529</v>
      </c>
      <c r="Q9" s="3704"/>
      <c r="R9" s="1569" t="s">
        <v>8</v>
      </c>
      <c r="S9" s="1570">
        <f t="shared" ref="S9:S17" si="0">F9</f>
        <v>0</v>
      </c>
      <c r="T9" s="1569" t="s">
        <v>8</v>
      </c>
      <c r="U9" s="1570">
        <f t="shared" ref="U9:U17" si="1">H9</f>
        <v>0</v>
      </c>
      <c r="V9" s="1569" t="s">
        <v>8</v>
      </c>
      <c r="W9" s="1570">
        <f t="shared" ref="W9:W17" si="2">J9</f>
        <v>0</v>
      </c>
      <c r="X9" s="1571"/>
      <c r="Y9" s="3702" t="s">
        <v>529</v>
      </c>
      <c r="Z9" s="3703"/>
      <c r="AA9" s="1572" t="e">
        <f>D9/F9</f>
        <v>#DIV/0!</v>
      </c>
      <c r="AB9" s="1572" t="e">
        <f>D9/H9</f>
        <v>#DIV/0!</v>
      </c>
      <c r="AC9" s="1572" t="e">
        <f>D9/J9</f>
        <v>#DIV/0!</v>
      </c>
    </row>
    <row r="10" spans="1:29" s="1220" customFormat="1" ht="15.75" thickBot="1">
      <c r="A10" s="2940"/>
      <c r="B10" s="294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702" t="s">
        <v>532</v>
      </c>
      <c r="Q10" s="3703"/>
      <c r="R10" s="1569" t="s">
        <v>8</v>
      </c>
      <c r="S10" s="1570">
        <f t="shared" si="0"/>
        <v>0</v>
      </c>
      <c r="T10" s="1569" t="s">
        <v>8</v>
      </c>
      <c r="U10" s="1570">
        <f t="shared" si="1"/>
        <v>0</v>
      </c>
      <c r="V10" s="1569" t="s">
        <v>8</v>
      </c>
      <c r="W10" s="1570">
        <f t="shared" si="2"/>
        <v>0</v>
      </c>
      <c r="X10" s="1571"/>
      <c r="Y10" s="3702" t="s">
        <v>532</v>
      </c>
      <c r="Z10" s="3703"/>
      <c r="AA10" s="1572" t="e">
        <f t="shared" ref="AA10:AA42" si="3">D10/F10</f>
        <v>#DIV/0!</v>
      </c>
      <c r="AB10" s="1572" t="e">
        <f t="shared" ref="AB10:AB42" si="4">D10/H10</f>
        <v>#DIV/0!</v>
      </c>
      <c r="AC10" s="1572" t="e">
        <f t="shared" ref="AC10:AC42" si="5">D10/J10</f>
        <v>#DIV/0!</v>
      </c>
    </row>
    <row r="11" spans="1:29" s="1220" customFormat="1" ht="15">
      <c r="A11" s="2941"/>
      <c r="B11" s="2948" t="s">
        <v>2758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71" t="s">
        <v>534</v>
      </c>
      <c r="Q11" s="1151" t="str">
        <f t="shared" ref="Q11:Q17" si="6">B11</f>
        <v>用途</v>
      </c>
      <c r="R11" s="1569" t="s">
        <v>8</v>
      </c>
      <c r="S11" s="1570">
        <f t="shared" si="0"/>
        <v>100</v>
      </c>
      <c r="T11" s="1569" t="s">
        <v>8</v>
      </c>
      <c r="U11" s="1570">
        <f t="shared" si="1"/>
        <v>100</v>
      </c>
      <c r="V11" s="1569" t="s">
        <v>8</v>
      </c>
      <c r="W11" s="1570">
        <f t="shared" si="2"/>
        <v>100</v>
      </c>
      <c r="X11" s="1571"/>
      <c r="Y11" s="3617" t="s">
        <v>535</v>
      </c>
      <c r="Z11" s="1150" t="str">
        <f t="shared" ref="Z11:Z17" si="7">Q11</f>
        <v>用途</v>
      </c>
      <c r="AA11" s="1572">
        <f t="shared" si="3"/>
        <v>1</v>
      </c>
      <c r="AB11" s="1572">
        <f t="shared" si="4"/>
        <v>1</v>
      </c>
      <c r="AC11" s="1572">
        <f t="shared" si="5"/>
        <v>1</v>
      </c>
    </row>
    <row r="12" spans="1:29" s="1338" customFormat="1" ht="27">
      <c r="A12" s="2942"/>
      <c r="B12" s="2947" t="s">
        <v>2759</v>
      </c>
      <c r="C12" s="528"/>
      <c r="D12" s="255">
        <v>100</v>
      </c>
      <c r="E12" s="528"/>
      <c r="F12" s="255">
        <f>ROUND(100/'数据-取费表'!G16,0)</f>
        <v>108</v>
      </c>
      <c r="G12" s="528"/>
      <c r="H12" s="255">
        <f>ROUND(100/'数据-取费表'!G16,0)</f>
        <v>108</v>
      </c>
      <c r="I12" s="528"/>
      <c r="J12" s="255">
        <f>ROUND(100/'数据-取费表'!G16,0)</f>
        <v>108</v>
      </c>
      <c r="K12" s="531"/>
      <c r="L12" s="2140"/>
      <c r="M12" s="2180"/>
      <c r="N12" s="2180"/>
      <c r="O12" s="2141"/>
      <c r="P12" s="3671"/>
      <c r="Q12" s="1151" t="str">
        <f t="shared" si="6"/>
        <v>土地使用年限（年）</v>
      </c>
      <c r="R12" s="1569" t="s">
        <v>8</v>
      </c>
      <c r="S12" s="1570">
        <f t="shared" si="0"/>
        <v>108</v>
      </c>
      <c r="T12" s="1569" t="s">
        <v>8</v>
      </c>
      <c r="U12" s="1570">
        <f t="shared" si="1"/>
        <v>108</v>
      </c>
      <c r="V12" s="1569" t="s">
        <v>8</v>
      </c>
      <c r="W12" s="1570">
        <f t="shared" si="2"/>
        <v>108</v>
      </c>
      <c r="X12" s="1571"/>
      <c r="Y12" s="3617"/>
      <c r="Z12" s="1150" t="str">
        <f t="shared" si="7"/>
        <v>土地使用年限（年）</v>
      </c>
      <c r="AA12" s="1572">
        <f t="shared" si="3"/>
        <v>0.92592592592592593</v>
      </c>
      <c r="AB12" s="1572">
        <f t="shared" si="4"/>
        <v>0.92592592592592593</v>
      </c>
      <c r="AC12" s="1572">
        <f t="shared" si="5"/>
        <v>0.92592592592592593</v>
      </c>
    </row>
    <row r="13" spans="1:29" ht="15">
      <c r="A13" s="2943"/>
      <c r="B13" s="2947"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71"/>
      <c r="Q13" s="1151" t="str">
        <f t="shared" si="6"/>
        <v>容积率</v>
      </c>
      <c r="R13" s="1569" t="s">
        <v>8</v>
      </c>
      <c r="S13" s="1570" t="e">
        <f t="shared" si="0"/>
        <v>#N/A</v>
      </c>
      <c r="T13" s="1569" t="s">
        <v>8</v>
      </c>
      <c r="U13" s="1570" t="e">
        <f t="shared" si="1"/>
        <v>#N/A</v>
      </c>
      <c r="V13" s="1569" t="s">
        <v>8</v>
      </c>
      <c r="W13" s="1570" t="e">
        <f t="shared" si="2"/>
        <v>#N/A</v>
      </c>
      <c r="X13" s="1571"/>
      <c r="Y13" s="3617"/>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71"/>
      <c r="Q15" s="1151">
        <f t="shared" si="6"/>
        <v>111</v>
      </c>
      <c r="R15" s="1569" t="s">
        <v>8</v>
      </c>
      <c r="S15" s="1570">
        <f t="shared" si="0"/>
        <v>100</v>
      </c>
      <c r="T15" s="1569" t="s">
        <v>8</v>
      </c>
      <c r="U15" s="1570">
        <f t="shared" si="1"/>
        <v>100</v>
      </c>
      <c r="V15" s="1569" t="s">
        <v>8</v>
      </c>
      <c r="W15" s="1570">
        <f t="shared" si="2"/>
        <v>100</v>
      </c>
      <c r="X15" s="1571"/>
      <c r="Y15" s="3617"/>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71"/>
      <c r="Q16" s="1151">
        <f t="shared" si="6"/>
        <v>111</v>
      </c>
      <c r="R16" s="1569" t="s">
        <v>8</v>
      </c>
      <c r="S16" s="1570">
        <f t="shared" si="0"/>
        <v>100</v>
      </c>
      <c r="T16" s="1569" t="s">
        <v>8</v>
      </c>
      <c r="U16" s="1570">
        <f t="shared" si="1"/>
        <v>100</v>
      </c>
      <c r="V16" s="1569" t="s">
        <v>8</v>
      </c>
      <c r="W16" s="1570">
        <f t="shared" si="2"/>
        <v>100</v>
      </c>
      <c r="X16" s="1571"/>
      <c r="Y16" s="3617"/>
      <c r="Z16" s="1150">
        <f t="shared" si="7"/>
        <v>111</v>
      </c>
      <c r="AA16" s="1572">
        <f t="shared" si="3"/>
        <v>1</v>
      </c>
      <c r="AB16" s="1572">
        <f t="shared" si="4"/>
        <v>1</v>
      </c>
      <c r="AC16" s="1572">
        <f t="shared" si="5"/>
        <v>1</v>
      </c>
    </row>
    <row r="17" spans="1:29" ht="57">
      <c r="A17" s="2937"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705" t="s">
        <v>539</v>
      </c>
      <c r="Q17" s="1573" t="str">
        <f t="shared" si="6"/>
        <v>产业集聚程度</v>
      </c>
      <c r="R17" s="1574" t="s">
        <v>8</v>
      </c>
      <c r="S17" s="1575">
        <f t="shared" si="0"/>
        <v>100</v>
      </c>
      <c r="T17" s="1574" t="s">
        <v>8</v>
      </c>
      <c r="U17" s="1575">
        <f t="shared" si="1"/>
        <v>100</v>
      </c>
      <c r="V17" s="1574" t="s">
        <v>8</v>
      </c>
      <c r="W17" s="1575">
        <f t="shared" si="2"/>
        <v>100</v>
      </c>
      <c r="X17" s="1568"/>
      <c r="Y17" s="3705"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706"/>
      <c r="Q18" s="1573"/>
      <c r="R18" s="1574"/>
      <c r="S18" s="1575"/>
      <c r="T18" s="1574"/>
      <c r="U18" s="1575"/>
      <c r="V18" s="1574"/>
      <c r="W18" s="1575"/>
      <c r="X18" s="1568"/>
      <c r="Y18" s="3706"/>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706"/>
      <c r="Q19" s="1573" t="str">
        <f>B19</f>
        <v>交通便捷度</v>
      </c>
      <c r="R19" s="1574" t="s">
        <v>8</v>
      </c>
      <c r="S19" s="1575">
        <f>F19</f>
        <v>100</v>
      </c>
      <c r="T19" s="1574" t="s">
        <v>8</v>
      </c>
      <c r="U19" s="1575">
        <f>H19</f>
        <v>100</v>
      </c>
      <c r="V19" s="1574" t="s">
        <v>8</v>
      </c>
      <c r="W19" s="1575">
        <f>J19</f>
        <v>100</v>
      </c>
      <c r="X19" s="1568"/>
      <c r="Y19" s="370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706"/>
      <c r="Q21" s="1573" t="str">
        <f t="shared" ref="Q21:Q35" si="8">B21</f>
        <v>区域土地利用方向</v>
      </c>
      <c r="R21" s="1574" t="s">
        <v>8</v>
      </c>
      <c r="S21" s="1575">
        <f>F21</f>
        <v>100</v>
      </c>
      <c r="T21" s="1574" t="s">
        <v>8</v>
      </c>
      <c r="U21" s="1575">
        <f>H21</f>
        <v>100</v>
      </c>
      <c r="V21" s="1574" t="s">
        <v>8</v>
      </c>
      <c r="W21" s="1575">
        <f>J21</f>
        <v>100</v>
      </c>
      <c r="X21" s="1568"/>
      <c r="Y21" s="370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706"/>
      <c r="Q22" s="1573"/>
      <c r="R22" s="1574"/>
      <c r="S22" s="1575"/>
      <c r="T22" s="1574"/>
      <c r="U22" s="1575"/>
      <c r="V22" s="1574"/>
      <c r="W22" s="1575"/>
      <c r="X22" s="1568"/>
      <c r="Y22" s="3706"/>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706"/>
      <c r="Q23" s="1573" t="str">
        <f t="shared" si="8"/>
        <v>环境状况</v>
      </c>
      <c r="R23" s="1574" t="s">
        <v>8</v>
      </c>
      <c r="S23" s="1575">
        <f>F23</f>
        <v>100</v>
      </c>
      <c r="T23" s="1574" t="s">
        <v>8</v>
      </c>
      <c r="U23" s="1575">
        <f>H23</f>
        <v>100</v>
      </c>
      <c r="V23" s="1574" t="s">
        <v>8</v>
      </c>
      <c r="W23" s="1575">
        <f>J23</f>
        <v>100</v>
      </c>
      <c r="X23" s="1568"/>
      <c r="Y23" s="370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706"/>
      <c r="Q24" s="1573"/>
      <c r="R24" s="1574"/>
      <c r="S24" s="1575"/>
      <c r="T24" s="1574"/>
      <c r="U24" s="1575"/>
      <c r="V24" s="1574"/>
      <c r="W24" s="1575"/>
      <c r="X24" s="1568"/>
      <c r="Y24" s="3706"/>
      <c r="Z24" s="1576"/>
      <c r="AA24" s="1577">
        <v>1</v>
      </c>
      <c r="AB24" s="1577">
        <v>1</v>
      </c>
      <c r="AC24" s="1577">
        <v>1</v>
      </c>
    </row>
    <row r="25" spans="1:29" s="1220" customFormat="1" ht="42.75">
      <c r="A25" s="577"/>
      <c r="B25" s="2619"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706"/>
      <c r="Q25" s="1151" t="str">
        <f t="shared" si="8"/>
        <v>公共配套设施</v>
      </c>
      <c r="R25" s="1569" t="s">
        <v>8</v>
      </c>
      <c r="S25" s="1570">
        <f>F25</f>
        <v>100</v>
      </c>
      <c r="T25" s="1569" t="s">
        <v>8</v>
      </c>
      <c r="U25" s="1570">
        <f>H25</f>
        <v>100</v>
      </c>
      <c r="V25" s="1569" t="s">
        <v>8</v>
      </c>
      <c r="W25" s="1570">
        <f>J25</f>
        <v>100</v>
      </c>
      <c r="X25" s="1571"/>
      <c r="Y25" s="3706"/>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706"/>
      <c r="Q26" s="1151"/>
      <c r="R26" s="1569"/>
      <c r="S26" s="1570"/>
      <c r="T26" s="1569"/>
      <c r="U26" s="1570"/>
      <c r="V26" s="1569"/>
      <c r="W26" s="1570"/>
      <c r="X26" s="1571"/>
      <c r="Y26" s="3706"/>
      <c r="Z26" s="1150"/>
      <c r="AA26" s="1572">
        <v>1</v>
      </c>
      <c r="AB26" s="1572">
        <v>1</v>
      </c>
      <c r="AC26" s="1572">
        <v>1</v>
      </c>
    </row>
    <row r="27" spans="1:29" s="1220" customFormat="1" ht="28.5">
      <c r="A27" s="577"/>
      <c r="B27" s="2619"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706"/>
      <c r="Q27" s="2604" t="str">
        <f t="shared" ref="Q27" si="9">B27</f>
        <v>基础设施水平</v>
      </c>
      <c r="R27" s="1569" t="s">
        <v>8</v>
      </c>
      <c r="S27" s="1570">
        <f>F27</f>
        <v>100</v>
      </c>
      <c r="T27" s="1569" t="s">
        <v>8</v>
      </c>
      <c r="U27" s="1570">
        <f>H27</f>
        <v>100</v>
      </c>
      <c r="V27" s="1569" t="s">
        <v>8</v>
      </c>
      <c r="W27" s="1570">
        <f>J27</f>
        <v>100</v>
      </c>
      <c r="X27" s="1571"/>
      <c r="Y27" s="3706"/>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706"/>
      <c r="Q28" s="2604"/>
      <c r="R28" s="1569"/>
      <c r="S28" s="1570"/>
      <c r="T28" s="1569"/>
      <c r="U28" s="1570"/>
      <c r="V28" s="1569"/>
      <c r="W28" s="1570"/>
      <c r="X28" s="1571"/>
      <c r="Y28" s="3706"/>
      <c r="Z28" s="2601"/>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70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06"/>
      <c r="Z29" s="1576" t="str">
        <f t="shared" ref="Z29:Z42" si="13">Q29</f>
        <v>临街状况</v>
      </c>
      <c r="AA29" s="1577">
        <f t="shared" si="3"/>
        <v>1</v>
      </c>
      <c r="AB29" s="1577">
        <f t="shared" si="4"/>
        <v>1</v>
      </c>
      <c r="AC29" s="1577">
        <f t="shared" si="5"/>
        <v>1</v>
      </c>
    </row>
    <row r="30" spans="1:29" ht="27">
      <c r="A30" s="532"/>
      <c r="B30" s="922" t="s">
        <v>547</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706"/>
      <c r="Q30" s="1573" t="str">
        <f t="shared" si="8"/>
        <v>毗邻道路的类型与等级</v>
      </c>
      <c r="R30" s="1574" t="s">
        <v>8</v>
      </c>
      <c r="S30" s="1575">
        <f t="shared" si="10"/>
        <v>100</v>
      </c>
      <c r="T30" s="1574" t="s">
        <v>8</v>
      </c>
      <c r="U30" s="1575">
        <f t="shared" si="11"/>
        <v>100</v>
      </c>
      <c r="V30" s="1574" t="s">
        <v>8</v>
      </c>
      <c r="W30" s="1575">
        <f t="shared" si="12"/>
        <v>100</v>
      </c>
      <c r="X30" s="1568"/>
      <c r="Y30" s="3706"/>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706"/>
      <c r="Q31" s="1573"/>
      <c r="R31" s="1574"/>
      <c r="S31" s="1575"/>
      <c r="T31" s="1574"/>
      <c r="U31" s="1575"/>
      <c r="V31" s="1574"/>
      <c r="W31" s="1575"/>
      <c r="X31" s="1568"/>
      <c r="Y31" s="3706"/>
      <c r="Z31" s="1576"/>
      <c r="AA31" s="1577">
        <v>1</v>
      </c>
      <c r="AB31" s="1577">
        <v>1</v>
      </c>
      <c r="AC31" s="1577">
        <v>1</v>
      </c>
    </row>
    <row r="32" spans="1:29" ht="15">
      <c r="A32" s="532"/>
      <c r="B32" s="527" t="s">
        <v>548</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706"/>
      <c r="Q32" s="1573" t="str">
        <f t="shared" si="8"/>
        <v>土地级别</v>
      </c>
      <c r="R32" s="1574" t="s">
        <v>8</v>
      </c>
      <c r="S32" s="1575">
        <f t="shared" si="10"/>
        <v>100</v>
      </c>
      <c r="T32" s="1574" t="s">
        <v>8</v>
      </c>
      <c r="U32" s="1575">
        <f t="shared" si="11"/>
        <v>100</v>
      </c>
      <c r="V32" s="1574" t="s">
        <v>8</v>
      </c>
      <c r="W32" s="1575">
        <f t="shared" si="12"/>
        <v>100</v>
      </c>
      <c r="X32" s="1568"/>
      <c r="Y32" s="370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706"/>
      <c r="Q33" s="1573">
        <f t="shared" si="8"/>
        <v>111</v>
      </c>
      <c r="R33" s="1574" t="s">
        <v>8</v>
      </c>
      <c r="S33" s="1575">
        <f t="shared" si="10"/>
        <v>100</v>
      </c>
      <c r="T33" s="1574" t="s">
        <v>8</v>
      </c>
      <c r="U33" s="1575">
        <f t="shared" si="11"/>
        <v>100</v>
      </c>
      <c r="V33" s="1574" t="s">
        <v>8</v>
      </c>
      <c r="W33" s="1575">
        <f t="shared" si="12"/>
        <v>100</v>
      </c>
      <c r="X33" s="1568"/>
      <c r="Y33" s="370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707" t="s">
        <v>549</v>
      </c>
      <c r="Q34" s="1573">
        <f t="shared" si="8"/>
        <v>111</v>
      </c>
      <c r="R34" s="1574" t="s">
        <v>8</v>
      </c>
      <c r="S34" s="1575">
        <f t="shared" si="10"/>
        <v>100</v>
      </c>
      <c r="T34" s="1574" t="s">
        <v>8</v>
      </c>
      <c r="U34" s="1575">
        <f t="shared" si="11"/>
        <v>100</v>
      </c>
      <c r="V34" s="1574" t="s">
        <v>8</v>
      </c>
      <c r="W34" s="1575">
        <f t="shared" si="12"/>
        <v>100</v>
      </c>
      <c r="X34" s="1568"/>
      <c r="Y34" s="3708" t="s">
        <v>549</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708"/>
      <c r="Q35" s="1573">
        <f t="shared" si="8"/>
        <v>111</v>
      </c>
      <c r="R35" s="1578" t="s">
        <v>8</v>
      </c>
      <c r="S35" s="1579">
        <f t="shared" si="10"/>
        <v>100</v>
      </c>
      <c r="T35" s="1578" t="s">
        <v>8</v>
      </c>
      <c r="U35" s="1579">
        <f t="shared" si="11"/>
        <v>100</v>
      </c>
      <c r="V35" s="1578" t="s">
        <v>8</v>
      </c>
      <c r="W35" s="1579">
        <f t="shared" si="12"/>
        <v>100</v>
      </c>
      <c r="X35" s="1580"/>
      <c r="Y35" s="3708"/>
      <c r="Z35" s="1581">
        <f t="shared" si="13"/>
        <v>111</v>
      </c>
      <c r="AA35" s="1577">
        <f t="shared" si="3"/>
        <v>1</v>
      </c>
      <c r="AB35" s="1577">
        <f t="shared" si="4"/>
        <v>1</v>
      </c>
      <c r="AC35" s="1577">
        <f t="shared" si="5"/>
        <v>1</v>
      </c>
    </row>
    <row r="36" spans="1:29" ht="15">
      <c r="A36" s="2934"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708"/>
      <c r="Q36" s="1573" t="str">
        <f>B36</f>
        <v>宗地面积</v>
      </c>
      <c r="R36" s="1574" t="s">
        <v>8</v>
      </c>
      <c r="S36" s="1575" t="e">
        <f t="shared" si="10"/>
        <v>#N/A</v>
      </c>
      <c r="T36" s="1574" t="s">
        <v>8</v>
      </c>
      <c r="U36" s="1575" t="e">
        <f t="shared" si="11"/>
        <v>#N/A</v>
      </c>
      <c r="V36" s="1574" t="s">
        <v>8</v>
      </c>
      <c r="W36" s="1575" t="e">
        <f t="shared" si="12"/>
        <v>#N/A</v>
      </c>
      <c r="X36" s="1568"/>
      <c r="Y36" s="3708"/>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708"/>
      <c r="Q37" s="1573" t="str">
        <f t="shared" ref="Q37:Q42" si="14">B37</f>
        <v>宗地形状</v>
      </c>
      <c r="R37" s="1574" t="s">
        <v>8</v>
      </c>
      <c r="S37" s="1575">
        <f t="shared" si="10"/>
        <v>100</v>
      </c>
      <c r="T37" s="1574" t="s">
        <v>8</v>
      </c>
      <c r="U37" s="1575">
        <f t="shared" si="11"/>
        <v>100</v>
      </c>
      <c r="V37" s="1574" t="s">
        <v>8</v>
      </c>
      <c r="W37" s="1575">
        <f t="shared" si="12"/>
        <v>100</v>
      </c>
      <c r="X37" s="1568"/>
      <c r="Y37" s="3708"/>
      <c r="Z37" s="1576" t="str">
        <f t="shared" si="13"/>
        <v>宗地形状</v>
      </c>
      <c r="AA37" s="1577">
        <f t="shared" si="3"/>
        <v>1</v>
      </c>
      <c r="AB37" s="1577">
        <f t="shared" si="4"/>
        <v>1</v>
      </c>
      <c r="AC37" s="1577">
        <f t="shared" si="5"/>
        <v>1</v>
      </c>
    </row>
    <row r="38" spans="1:29" s="1220" customFormat="1" ht="15">
      <c r="A38" s="600"/>
      <c r="B38" s="1897"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708"/>
      <c r="Q38" s="1573" t="str">
        <f t="shared" si="14"/>
        <v>宗地开发程度</v>
      </c>
      <c r="R38" s="1569" t="s">
        <v>8</v>
      </c>
      <c r="S38" s="1570">
        <f t="shared" si="10"/>
        <v>100</v>
      </c>
      <c r="T38" s="1569" t="s">
        <v>8</v>
      </c>
      <c r="U38" s="1570">
        <f t="shared" si="11"/>
        <v>100</v>
      </c>
      <c r="V38" s="1569" t="s">
        <v>8</v>
      </c>
      <c r="W38" s="1570">
        <f t="shared" si="12"/>
        <v>100</v>
      </c>
      <c r="X38" s="1571"/>
      <c r="Y38" s="3708"/>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08" t="s">
        <v>600</v>
      </c>
      <c r="Q39" s="1573" t="str">
        <f t="shared" si="14"/>
        <v>工程地质条件</v>
      </c>
      <c r="R39" s="1574" t="s">
        <v>8</v>
      </c>
      <c r="S39" s="1575">
        <f t="shared" si="10"/>
        <v>100</v>
      </c>
      <c r="T39" s="1574" t="s">
        <v>8</v>
      </c>
      <c r="U39" s="1575">
        <f t="shared" si="11"/>
        <v>100</v>
      </c>
      <c r="V39" s="1574" t="s">
        <v>8</v>
      </c>
      <c r="W39" s="1575">
        <f t="shared" si="12"/>
        <v>100</v>
      </c>
      <c r="X39" s="1568"/>
      <c r="Y39" s="3708"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708"/>
      <c r="Q40" s="1573">
        <f t="shared" si="14"/>
        <v>111</v>
      </c>
      <c r="R40" s="1574" t="s">
        <v>8</v>
      </c>
      <c r="S40" s="1575">
        <f t="shared" si="10"/>
        <v>100</v>
      </c>
      <c r="T40" s="1574" t="s">
        <v>8</v>
      </c>
      <c r="U40" s="1575">
        <f t="shared" si="11"/>
        <v>100</v>
      </c>
      <c r="V40" s="1574" t="s">
        <v>8</v>
      </c>
      <c r="W40" s="1575">
        <f t="shared" si="12"/>
        <v>100</v>
      </c>
      <c r="X40" s="1568"/>
      <c r="Y40" s="370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708"/>
      <c r="Q41" s="1573">
        <f t="shared" si="14"/>
        <v>111</v>
      </c>
      <c r="R41" s="1574" t="s">
        <v>8</v>
      </c>
      <c r="S41" s="1575">
        <f t="shared" si="10"/>
        <v>100</v>
      </c>
      <c r="T41" s="1574" t="s">
        <v>8</v>
      </c>
      <c r="U41" s="1575">
        <f t="shared" si="11"/>
        <v>100</v>
      </c>
      <c r="V41" s="1574" t="s">
        <v>8</v>
      </c>
      <c r="W41" s="1575">
        <f t="shared" si="12"/>
        <v>100</v>
      </c>
      <c r="X41" s="1568"/>
      <c r="Y41" s="370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708"/>
      <c r="Q42" s="1573">
        <f t="shared" si="14"/>
        <v>111</v>
      </c>
      <c r="R42" s="1578" t="s">
        <v>8</v>
      </c>
      <c r="S42" s="1579">
        <f t="shared" si="10"/>
        <v>100</v>
      </c>
      <c r="T42" s="1578" t="s">
        <v>8</v>
      </c>
      <c r="U42" s="1579">
        <f t="shared" si="11"/>
        <v>100</v>
      </c>
      <c r="V42" s="1578" t="s">
        <v>8</v>
      </c>
      <c r="W42" s="1579">
        <f t="shared" si="12"/>
        <v>100</v>
      </c>
      <c r="X42" s="1580"/>
      <c r="Y42" s="3708"/>
      <c r="Z42" s="1581">
        <f t="shared" si="13"/>
        <v>111</v>
      </c>
      <c r="AA42" s="1577">
        <f t="shared" si="3"/>
        <v>1</v>
      </c>
      <c r="AB42" s="1577">
        <f t="shared" si="4"/>
        <v>1</v>
      </c>
      <c r="AC42" s="1577">
        <f t="shared" si="5"/>
        <v>1</v>
      </c>
    </row>
    <row r="43" spans="1:29" ht="15">
      <c r="A43" s="607" t="s">
        <v>555</v>
      </c>
      <c r="B43" s="608" t="s">
        <v>2935</v>
      </c>
      <c r="C43" s="609" t="s">
        <v>1</v>
      </c>
      <c r="D43" s="610"/>
      <c r="E43" s="611"/>
      <c r="F43" s="612"/>
      <c r="G43" s="613"/>
      <c r="H43" s="614"/>
      <c r="I43" s="611"/>
      <c r="J43" s="614"/>
      <c r="K43" s="1340"/>
      <c r="L43" s="2146"/>
      <c r="M43" s="2136"/>
      <c r="N43" s="2136"/>
      <c r="O43" s="2147"/>
      <c r="P43" s="3671" t="str">
        <f>A43</f>
        <v>成交单价</v>
      </c>
      <c r="Q43" s="3671"/>
      <c r="R43" s="3672">
        <f>E43</f>
        <v>0</v>
      </c>
      <c r="S43" s="3672"/>
      <c r="T43" s="3672">
        <f>G43</f>
        <v>0</v>
      </c>
      <c r="U43" s="3672"/>
      <c r="V43" s="3672">
        <f>I43</f>
        <v>0</v>
      </c>
      <c r="W43" s="3672"/>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6"/>
      <c r="M44" s="2136"/>
      <c r="N44" s="2136"/>
      <c r="O44" s="2147"/>
      <c r="P44" s="3671" t="str">
        <f>A44</f>
        <v>比较价格（元/平方米）</v>
      </c>
      <c r="Q44" s="3671"/>
      <c r="R44" s="3673" t="e">
        <f>ROUND(PRODUCT(R43,AA9:AA42),0)</f>
        <v>#DIV/0!</v>
      </c>
      <c r="S44" s="3673"/>
      <c r="T44" s="3673" t="e">
        <f>ROUND(PRODUCT(T43,AB9:AB42),0)</f>
        <v>#DIV/0!</v>
      </c>
      <c r="U44" s="3673"/>
      <c r="V44" s="3673" t="e">
        <f>ROUND(PRODUCT(V43,AC9:AC42),0)</f>
        <v>#DIV/0!</v>
      </c>
      <c r="W44" s="3673"/>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668" t="str">
        <f>A45</f>
        <v>估价对象XX用房的比较价格（楼面单价，元/平方米）</v>
      </c>
      <c r="Q45" s="3669"/>
      <c r="R45" s="3670" t="e">
        <f>ROUND(AVERAGE(R44:V44),0)</f>
        <v>#DIV/0!</v>
      </c>
      <c r="S45" s="3670"/>
      <c r="T45" s="3670"/>
      <c r="U45" s="3670"/>
      <c r="V45" s="3670"/>
      <c r="W45" s="3670"/>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1724</v>
      </c>
      <c r="D52" s="2229" t="s">
        <v>2293</v>
      </c>
      <c r="E52" s="631" t="s">
        <v>561</v>
      </c>
      <c r="F52" s="1953" t="s">
        <v>562</v>
      </c>
      <c r="G52" s="3715" t="s">
        <v>2284</v>
      </c>
      <c r="H52" s="3716"/>
      <c r="I52" s="1954" t="s">
        <v>1947</v>
      </c>
      <c r="J52" s="1556">
        <f>项目基本情况!F41</f>
        <v>0</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103133.26999999999</v>
      </c>
      <c r="F53" s="1952" t="e">
        <f t="shared" ref="F53:F62" si="15">ROUND(B53*E53/10000,0)</f>
        <v>#DIV/0!</v>
      </c>
      <c r="G53" s="3717"/>
      <c r="H53" s="3718"/>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719" t="s">
        <v>2285</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719"/>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719"/>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719"/>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2327</v>
      </c>
      <c r="B58" s="638" t="e">
        <f t="shared" si="17"/>
        <v>#DIV/0!</v>
      </c>
      <c r="C58" s="378">
        <f t="shared" si="16"/>
        <v>0</v>
      </c>
      <c r="D58" s="2231">
        <v>0.25</v>
      </c>
      <c r="E58" s="641">
        <f>'数据-汇总表'!E11</f>
        <v>0</v>
      </c>
      <c r="F58" s="1952" t="e">
        <f t="shared" si="15"/>
        <v>#DIV/0!</v>
      </c>
      <c r="G58" s="1958" t="s">
        <v>2286</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2285</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2286</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2294</v>
      </c>
      <c r="E63" s="643">
        <f>IF(B43="楼面地价",SUM(E53:E62),'数据-汇总表'!D3)</f>
        <v>99890.33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2018-3-1</v>
      </c>
      <c r="D65" s="2826">
        <f>EDATE(C65,-3)</f>
        <v>43070</v>
      </c>
      <c r="E65" s="2826">
        <f t="shared" ref="E65:N65" si="18">EDATE(D65,-3)</f>
        <v>42979</v>
      </c>
      <c r="F65" s="2826">
        <f t="shared" si="18"/>
        <v>42887</v>
      </c>
      <c r="G65" s="2826">
        <f t="shared" si="18"/>
        <v>42795</v>
      </c>
      <c r="H65" s="2826">
        <f t="shared" si="18"/>
        <v>42705</v>
      </c>
      <c r="I65" s="2826">
        <f t="shared" si="18"/>
        <v>42614</v>
      </c>
      <c r="J65" s="2826">
        <f t="shared" si="18"/>
        <v>42522</v>
      </c>
      <c r="K65" s="2826">
        <f t="shared" si="18"/>
        <v>42430</v>
      </c>
      <c r="L65" s="2826">
        <f t="shared" si="18"/>
        <v>42339</v>
      </c>
      <c r="M65" s="2826">
        <f t="shared" si="18"/>
        <v>42248</v>
      </c>
      <c r="N65" s="2826">
        <f t="shared" si="18"/>
        <v>42156</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2535</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2651</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2552</v>
      </c>
      <c r="C95" s="2624" t="s">
        <v>2553</v>
      </c>
      <c r="D95" s="2624" t="s">
        <v>2554</v>
      </c>
      <c r="E95" s="2624" t="s">
        <v>2555</v>
      </c>
      <c r="F95" s="2624" t="s">
        <v>2556</v>
      </c>
      <c r="G95" s="2624"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2425</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2426</v>
      </c>
      <c r="D1" s="1522">
        <f>SUM(D29:D30,D33:D39)</f>
        <v>0</v>
      </c>
      <c r="E1" s="1407" t="s">
        <v>2427</v>
      </c>
      <c r="F1" s="2478"/>
      <c r="G1" s="1402"/>
      <c r="H1" s="1402"/>
      <c r="I1" s="1402"/>
      <c r="J1" s="1402"/>
      <c r="K1" s="1402"/>
      <c r="L1" s="1884" t="s">
        <v>2238</v>
      </c>
      <c r="M1" s="1885">
        <f>SUMPRODUCT((区片价!B5:B9=I2)*(区片价!C3:F3=E2)*(区片价!C5:F9))</f>
        <v>0</v>
      </c>
      <c r="N1" s="1886">
        <f>SUMPRODUCT((因素修正幅度!B5:B9=I2)*(因素修正幅度!C3:F3=E2)*(因素修正幅度!C5:F9))</f>
        <v>0</v>
      </c>
      <c r="O1" s="2191"/>
      <c r="P1" s="2191"/>
      <c r="Q1" s="2191"/>
      <c r="R1" s="2963" t="s">
        <v>2764</v>
      </c>
      <c r="S1" s="2963" t="s">
        <v>2765</v>
      </c>
      <c r="T1" s="2963" t="s">
        <v>2786</v>
      </c>
      <c r="U1" s="2963" t="s">
        <v>2787</v>
      </c>
      <c r="V1" s="2963" t="s">
        <v>2788</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2239</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1"/>
      <c r="X2" s="2191"/>
      <c r="Y2" s="2191"/>
      <c r="Z2" s="2191"/>
      <c r="AA2" s="2191"/>
      <c r="AB2" s="2191"/>
      <c r="AC2" s="2192"/>
    </row>
    <row r="3" spans="1:39" ht="15.75">
      <c r="A3" s="1412" t="s">
        <v>1687</v>
      </c>
      <c r="B3" s="1038" t="e">
        <f>ROUND(B2*10000/D1,0)</f>
        <v>#DIV/0!</v>
      </c>
      <c r="C3" s="1408" t="s">
        <v>926</v>
      </c>
      <c r="D3" s="1409" t="s">
        <v>927</v>
      </c>
      <c r="E3" s="1413"/>
      <c r="F3" s="1414" t="s">
        <v>2937</v>
      </c>
      <c r="G3" s="1039">
        <f>IF(F3="宗地容积率",'数据-汇总表'!I4,IF(F3="估价对象容积率",'数据-汇总表'!I6,'数据-汇总表'!I7))</f>
        <v>1.05</v>
      </c>
      <c r="H3" s="1415" t="s">
        <v>928</v>
      </c>
      <c r="I3" s="1040">
        <v>8</v>
      </c>
      <c r="J3" s="1411" t="s">
        <v>929</v>
      </c>
      <c r="K3" s="1402"/>
      <c r="L3" s="1887" t="s">
        <v>2240</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1"/>
      <c r="X3" s="2191"/>
      <c r="Y3" s="2191"/>
      <c r="Z3" s="2191"/>
      <c r="AA3" s="2191"/>
      <c r="AB3" s="2191"/>
      <c r="AC3" s="2192"/>
    </row>
    <row r="4" spans="1:39" ht="28.5">
      <c r="A4" s="1893" t="s">
        <v>2280</v>
      </c>
      <c r="B4" s="2479" t="e">
        <f>ROUND(B2*10000/F1,0)</f>
        <v>#DIV/0!</v>
      </c>
      <c r="C4" s="1896" t="s">
        <v>2254</v>
      </c>
      <c r="D4" s="1896" t="e">
        <f>ROUND(B2/(F1/666.67),0)</f>
        <v>#DIV/0!</v>
      </c>
      <c r="E4" s="1896" t="s">
        <v>2255</v>
      </c>
      <c r="F4" s="1894"/>
      <c r="G4" s="1894"/>
      <c r="H4" s="1894"/>
      <c r="I4" s="1894"/>
      <c r="J4" s="1895"/>
      <c r="K4" s="1402"/>
      <c r="L4" s="1887" t="s">
        <v>2241</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0</v>
      </c>
      <c r="T4" s="2964" t="e">
        <f t="shared" si="0"/>
        <v>#DIV/0!</v>
      </c>
      <c r="U4" s="2953"/>
      <c r="V4" s="2964" t="e">
        <f t="shared" si="1"/>
        <v>#DIV/0!</v>
      </c>
      <c r="W4" s="2191"/>
      <c r="X4" s="2191"/>
      <c r="Y4" s="2191"/>
      <c r="Z4" s="2191"/>
      <c r="AA4" s="2191"/>
      <c r="AB4" s="2191"/>
      <c r="AC4" s="2192"/>
    </row>
    <row r="5" spans="1:39" s="1422" customFormat="1" ht="15.75" thickBot="1">
      <c r="A5" s="1639" t="s">
        <v>1823</v>
      </c>
      <c r="B5" s="1416" t="s">
        <v>930</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7" t="s">
        <v>2242</v>
      </c>
      <c r="M5" s="1888">
        <f>SUMPRODUCT((区片价!B76:B109=I2)*(区片价!C3:F3=E2)*(区片价!C76:F109))</f>
        <v>0</v>
      </c>
      <c r="N5" s="1889">
        <f>SUMPRODUCT((因素修正幅度!B76:B109=I2)*(因素修正幅度!C3:F3=E2)*(因素修正幅度!C76:F109))</f>
        <v>0</v>
      </c>
      <c r="O5" s="2191"/>
      <c r="P5" s="2191"/>
      <c r="Q5" s="2191"/>
      <c r="R5" s="2964">
        <v>4</v>
      </c>
      <c r="S5" s="2964">
        <f>ROUND(IF(G3&gt;1,IF(R5&lt;7,SUMPRODUCT((B93:B98=R5)*(C92:N92=G2)*(C93:N98)),SUMIF(C92:N92,G2,C100:N100)),IF(R5&lt;7,SUMPRODUCT((B102:B107=R5)*(C92:N92=G2)*(C102:N107)),SUMIF(C92:N92,G2,C109:N109))),4)</f>
        <v>0</v>
      </c>
      <c r="T5" s="2964" t="e">
        <f t="shared" si="0"/>
        <v>#DIV/0!</v>
      </c>
      <c r="U5" s="2953"/>
      <c r="V5" s="2964"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2243</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v>
      </c>
      <c r="T6" s="2964" t="e">
        <f t="shared" si="0"/>
        <v>#DIV/0!</v>
      </c>
      <c r="U6" s="2953"/>
      <c r="V6" s="2964" t="e">
        <f t="shared" si="1"/>
        <v>#DIV/0!</v>
      </c>
      <c r="W6" s="2191"/>
      <c r="X6" s="2191"/>
      <c r="Y6" s="2191"/>
      <c r="Z6" s="2191"/>
      <c r="AA6" s="2191"/>
      <c r="AB6" s="2191"/>
      <c r="AC6" s="2193"/>
      <c r="AD6" s="1420"/>
      <c r="AE6" s="1420"/>
      <c r="AF6" s="1420"/>
      <c r="AG6" s="1420"/>
      <c r="AH6" s="1420"/>
      <c r="AI6" s="1420"/>
      <c r="AJ6" s="1421"/>
    </row>
    <row r="7" spans="1:39" ht="24">
      <c r="A7" s="3729" t="str">
        <f>IF(E2="商业",IF(C8="不临58条商业街","",2),"")</f>
        <v/>
      </c>
      <c r="B7" s="1428" t="s">
        <v>931</v>
      </c>
      <c r="C7" s="1043" t="e">
        <f>IF(C8="不临58条商业街",1,ROUND(1+(1.6*E8+1.2*E9+0.8*E10+0.4*E11)*C9,4))</f>
        <v>#DIV/0!</v>
      </c>
      <c r="D7" s="1429" t="s">
        <v>932</v>
      </c>
      <c r="E7" s="1044"/>
      <c r="F7" s="1430"/>
      <c r="G7" s="1431"/>
      <c r="H7" s="1431"/>
      <c r="I7" s="1431"/>
      <c r="J7" s="1432"/>
      <c r="K7" s="1596"/>
      <c r="L7" s="1887" t="s">
        <v>2244</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2767</v>
      </c>
      <c r="X7" s="2954">
        <f>G2</f>
        <v>0</v>
      </c>
      <c r="Y7" s="2954" t="s">
        <v>2768</v>
      </c>
      <c r="Z7" s="2955">
        <f>G3</f>
        <v>1.05</v>
      </c>
      <c r="AA7" s="2194"/>
      <c r="AB7" s="2194"/>
      <c r="AC7" s="2195"/>
      <c r="AD7" s="2956"/>
      <c r="AE7" s="2956"/>
      <c r="AF7" s="2956"/>
      <c r="AG7" s="2956"/>
      <c r="AH7" s="2956"/>
      <c r="AI7" s="2956"/>
      <c r="AJ7" s="2957"/>
    </row>
    <row r="8" spans="1:39" ht="15">
      <c r="A8" s="3730"/>
      <c r="B8" s="1415" t="s">
        <v>933</v>
      </c>
      <c r="C8" s="1530"/>
      <c r="D8" s="1045" t="s">
        <v>934</v>
      </c>
      <c r="E8" s="1046" t="e">
        <f>ROUND(C11/E7,4)</f>
        <v>#DIV/0!</v>
      </c>
      <c r="F8" s="1433" t="s">
        <v>935</v>
      </c>
      <c r="G8" s="1434"/>
      <c r="H8" s="1434"/>
      <c r="I8" s="1434"/>
      <c r="J8" s="1435"/>
      <c r="K8" s="1402"/>
      <c r="L8" s="1887" t="s">
        <v>2245</v>
      </c>
      <c r="M8" s="1888">
        <f>SUMPRODUCT((区片价!B206:B244=I2)*(区片价!C3:F3=E2)*(区片价!C206:F244))</f>
        <v>0</v>
      </c>
      <c r="N8" s="1889">
        <f>SUMPRODUCT((因素修正幅度!B206:B244=I2)*(因素修正幅度!C3:F3=E2)*(因素修正幅度!C206:F244))</f>
        <v>0</v>
      </c>
      <c r="O8" s="2191"/>
      <c r="P8" s="2191"/>
      <c r="Q8" s="2191"/>
      <c r="R8" s="2964">
        <v>7</v>
      </c>
      <c r="S8" s="2953"/>
      <c r="T8" s="2964" t="e">
        <f t="shared" si="0"/>
        <v>#DIV/0!</v>
      </c>
      <c r="U8" s="2953"/>
      <c r="V8" s="2964" t="e">
        <f t="shared" si="1"/>
        <v>#DIV/0!</v>
      </c>
      <c r="W8" s="3721" t="s">
        <v>2785</v>
      </c>
      <c r="X8" s="3722"/>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730"/>
      <c r="B9" s="1415" t="s">
        <v>936</v>
      </c>
      <c r="C9" s="1047">
        <f>SUMIF(修正!C59:C119,C8,修正!E59:E119)</f>
        <v>0</v>
      </c>
      <c r="D9" s="1048" t="s">
        <v>937</v>
      </c>
      <c r="E9" s="1048" t="e">
        <f>ROUND(C11/E7,4)</f>
        <v>#DIV/0!</v>
      </c>
      <c r="F9" s="1433" t="s">
        <v>938</v>
      </c>
      <c r="G9" s="1434"/>
      <c r="H9" s="1434"/>
      <c r="I9" s="1434"/>
      <c r="J9" s="1435"/>
      <c r="K9" s="1402"/>
      <c r="L9" s="1887" t="s">
        <v>2246</v>
      </c>
      <c r="M9" s="1888">
        <f>SUMPRODUCT((区片价!B245:B289=I2)*(区片价!C3:F3=E2)*(区片价!C245:F289))</f>
        <v>0</v>
      </c>
      <c r="N9" s="1889">
        <f>SUMPRODUCT((因素修正幅度!B245:B289=I2)*(因素修正幅度!C3:F3=E2)*(因素修正幅度!C245:F289))</f>
        <v>0</v>
      </c>
      <c r="O9" s="2191"/>
      <c r="P9" s="2191"/>
      <c r="Q9" s="2191"/>
      <c r="R9" s="2964">
        <v>8</v>
      </c>
      <c r="S9" s="2953"/>
      <c r="T9" s="2964" t="e">
        <f t="shared" si="0"/>
        <v>#DIV/0!</v>
      </c>
      <c r="U9" s="2953"/>
      <c r="V9" s="2964" t="e">
        <f t="shared" si="1"/>
        <v>#DIV/0!</v>
      </c>
      <c r="W9" s="3720" t="s">
        <v>2781</v>
      </c>
      <c r="X9" s="2958" t="s">
        <v>2782</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30"/>
      <c r="B10" s="1415" t="s">
        <v>939</v>
      </c>
      <c r="C10" s="1048">
        <f>SUMIF(修正!C59:C119,C8,修正!F59:F119)</f>
        <v>0</v>
      </c>
      <c r="D10" s="1048" t="s">
        <v>940</v>
      </c>
      <c r="E10" s="1048" t="e">
        <f>ROUND(C11/E7,4)</f>
        <v>#DIV/0!</v>
      </c>
      <c r="F10" s="1433" t="s">
        <v>941</v>
      </c>
      <c r="G10" s="1434"/>
      <c r="H10" s="1434"/>
      <c r="I10" s="1434"/>
      <c r="J10" s="1435"/>
      <c r="K10" s="1402"/>
      <c r="L10" s="1887" t="s">
        <v>2247</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t="e">
        <f t="shared" si="0"/>
        <v>#DIV/0!</v>
      </c>
      <c r="U10" s="2953"/>
      <c r="V10" s="2964" t="e">
        <f t="shared" si="1"/>
        <v>#DIV/0!</v>
      </c>
      <c r="W10" s="3720"/>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30"/>
      <c r="B11" s="1436" t="s">
        <v>942</v>
      </c>
      <c r="C11" s="1049">
        <f>C10/4</f>
        <v>0</v>
      </c>
      <c r="D11" s="1049" t="s">
        <v>943</v>
      </c>
      <c r="E11" s="1049" t="e">
        <f>ROUND(C11/E7,4)</f>
        <v>#DIV/0!</v>
      </c>
      <c r="F11" s="1437" t="s">
        <v>944</v>
      </c>
      <c r="G11" s="1438"/>
      <c r="H11" s="1438"/>
      <c r="I11" s="1438"/>
      <c r="J11" s="1439"/>
      <c r="K11" s="1402"/>
      <c r="L11" s="1887" t="s">
        <v>2248</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t="e">
        <f t="shared" si="0"/>
        <v>#DIV/0!</v>
      </c>
      <c r="U11" s="2953"/>
      <c r="V11" s="2964" t="e">
        <f t="shared" si="1"/>
        <v>#DIV/0!</v>
      </c>
      <c r="W11" s="3720" t="s">
        <v>2783</v>
      </c>
      <c r="X11" s="1048" t="s">
        <v>2768</v>
      </c>
      <c r="Y11" s="1654">
        <f>$G$3</f>
        <v>1.05</v>
      </c>
      <c r="Z11" s="1654">
        <f t="shared" ref="Z11:AJ11" si="3">$G$3</f>
        <v>1.05</v>
      </c>
      <c r="AA11" s="1654">
        <f t="shared" si="3"/>
        <v>1.05</v>
      </c>
      <c r="AB11" s="1654">
        <f t="shared" si="3"/>
        <v>1.05</v>
      </c>
      <c r="AC11" s="1654">
        <f t="shared" si="3"/>
        <v>1.05</v>
      </c>
      <c r="AD11" s="1654">
        <f t="shared" si="3"/>
        <v>1.05</v>
      </c>
      <c r="AE11" s="1654">
        <f t="shared" si="3"/>
        <v>1.05</v>
      </c>
      <c r="AF11" s="1654">
        <f t="shared" si="3"/>
        <v>1.05</v>
      </c>
      <c r="AG11" s="1654">
        <f t="shared" si="3"/>
        <v>1.05</v>
      </c>
      <c r="AH11" s="1654">
        <f t="shared" si="3"/>
        <v>1.05</v>
      </c>
      <c r="AI11" s="1654">
        <f t="shared" si="3"/>
        <v>1.05</v>
      </c>
      <c r="AJ11" s="1654">
        <f t="shared" si="3"/>
        <v>1.05</v>
      </c>
    </row>
    <row r="12" spans="1:39" ht="25.5" thickBot="1">
      <c r="A12" s="3729" t="s">
        <v>1871</v>
      </c>
      <c r="B12" s="1440" t="s">
        <v>945</v>
      </c>
      <c r="C12" s="1043">
        <f>ROUND(C15*D15*E15*F15*G15*H15*I15*J15,4)</f>
        <v>1</v>
      </c>
      <c r="D12" s="1441" t="s">
        <v>946</v>
      </c>
      <c r="E12" s="1442"/>
      <c r="F12" s="1442"/>
      <c r="G12" s="1443"/>
      <c r="H12" s="1443"/>
      <c r="I12" s="1443"/>
      <c r="J12" s="1444"/>
      <c r="K12" s="1402"/>
      <c r="L12" s="1890" t="s">
        <v>2249</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t="e">
        <f t="shared" si="0"/>
        <v>#DIV/0!</v>
      </c>
      <c r="U12" s="2953"/>
      <c r="V12" s="2964" t="e">
        <f t="shared" si="1"/>
        <v>#DIV/0!</v>
      </c>
      <c r="W12" s="3720"/>
      <c r="X12" s="2961" t="s">
        <v>2784</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31"/>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64">
        <v>12</v>
      </c>
      <c r="S13" s="2953"/>
      <c r="T13" s="2964" t="e">
        <f t="shared" si="0"/>
        <v>#DIV/0!</v>
      </c>
      <c r="U13" s="2953"/>
      <c r="V13" s="2964" t="e">
        <f t="shared" si="1"/>
        <v>#DIV/0!</v>
      </c>
      <c r="W13" s="3720"/>
      <c r="X13" s="2961"/>
      <c r="Y13" s="2960">
        <f>(-0.163*(Y12^2)-0.59*Y12+7617)*(10^(-4))/Y11</f>
        <v>0.72542857142857142</v>
      </c>
      <c r="Z13" s="2960">
        <f t="shared" ref="Z13:AJ13" si="5">(-0.163*(Z12^2)-0.59*Z12+7617)*(10^(-4))/Z11</f>
        <v>0.72542857142857142</v>
      </c>
      <c r="AA13" s="2960">
        <f t="shared" si="5"/>
        <v>0.72542857142857142</v>
      </c>
      <c r="AB13" s="2960">
        <f t="shared" si="5"/>
        <v>0.72542857142857142</v>
      </c>
      <c r="AC13" s="2960">
        <f t="shared" si="5"/>
        <v>0.72542857142857142</v>
      </c>
      <c r="AD13" s="2960">
        <f t="shared" si="5"/>
        <v>0.72542857142857142</v>
      </c>
      <c r="AE13" s="2960">
        <f t="shared" si="5"/>
        <v>0.72542857142857142</v>
      </c>
      <c r="AF13" s="2960">
        <f t="shared" si="5"/>
        <v>0.72542857142857142</v>
      </c>
      <c r="AG13" s="2960">
        <f t="shared" si="5"/>
        <v>0.72542857142857142</v>
      </c>
      <c r="AH13" s="2960">
        <f t="shared" si="5"/>
        <v>0.72542857142857142</v>
      </c>
      <c r="AI13" s="2960">
        <f t="shared" si="5"/>
        <v>0.72542857142857142</v>
      </c>
      <c r="AJ13" s="2960">
        <f t="shared" si="5"/>
        <v>0.72542857142857142</v>
      </c>
    </row>
    <row r="14" spans="1:39" ht="12.75" customHeight="1" thickBot="1">
      <c r="A14" s="3731"/>
      <c r="B14" s="1452"/>
      <c r="C14" s="1453"/>
      <c r="D14" s="1454"/>
      <c r="E14" s="1454"/>
      <c r="F14" s="1455"/>
      <c r="G14" s="1456" t="s">
        <v>948</v>
      </c>
      <c r="H14" s="1457"/>
      <c r="I14" s="1458"/>
      <c r="J14" s="1459"/>
      <c r="K14" s="1402"/>
      <c r="L14" s="2191"/>
      <c r="M14" s="2191"/>
      <c r="N14" s="2191"/>
      <c r="O14" s="2191"/>
      <c r="P14" s="2191"/>
      <c r="Q14" s="2191"/>
      <c r="R14" s="2964">
        <v>13</v>
      </c>
      <c r="S14" s="2953"/>
      <c r="T14" s="2964" t="e">
        <f t="shared" si="0"/>
        <v>#DIV/0!</v>
      </c>
      <c r="U14" s="2953"/>
      <c r="V14" s="2964" t="e">
        <f t="shared" si="1"/>
        <v>#DIV/0!</v>
      </c>
      <c r="W14" s="2191"/>
      <c r="X14" s="2191"/>
      <c r="Y14" s="2191"/>
      <c r="Z14" s="2191"/>
      <c r="AA14" s="2191"/>
      <c r="AB14" s="2191"/>
      <c r="AC14" s="2192"/>
    </row>
    <row r="15" spans="1:39" ht="13.5" customHeight="1" thickBot="1">
      <c r="A15" s="3732"/>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64">
        <v>14</v>
      </c>
      <c r="S15" s="2953"/>
      <c r="T15" s="2964" t="e">
        <f t="shared" si="0"/>
        <v>#DIV/0!</v>
      </c>
      <c r="U15" s="2953"/>
      <c r="V15" s="2964" t="e">
        <f t="shared" si="1"/>
        <v>#DIV/0!</v>
      </c>
      <c r="W15" s="2191"/>
      <c r="X15" s="2191"/>
      <c r="Y15" s="2191"/>
      <c r="Z15" s="2191"/>
      <c r="AA15" s="2191"/>
      <c r="AB15" s="2191"/>
      <c r="AC15" s="2192"/>
    </row>
    <row r="16" spans="1:39" ht="24">
      <c r="A16" s="3729"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64">
        <v>15</v>
      </c>
      <c r="S16" s="2953"/>
      <c r="T16" s="2964" t="e">
        <f t="shared" si="0"/>
        <v>#DIV/0!</v>
      </c>
      <c r="U16" s="2953"/>
      <c r="V16" s="2964" t="e">
        <f t="shared" si="1"/>
        <v>#DIV/0!</v>
      </c>
      <c r="W16" s="2194"/>
      <c r="X16" s="2194"/>
      <c r="Y16" s="2194"/>
      <c r="Z16" s="2194"/>
      <c r="AA16" s="2194"/>
      <c r="AB16" s="2194"/>
      <c r="AC16" s="2195"/>
    </row>
    <row r="17" spans="1:40" ht="13.5" thickBot="1">
      <c r="A17" s="3730"/>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99" t="s">
        <v>955</v>
      </c>
      <c r="C18" s="2800">
        <f>SUMIF(修正!C18:C39,E3,修正!E18:E39)</f>
        <v>0</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ROUND(IF(H19="按公示增长率计算",SUMPRODUCT((地价!A3:A21=YEAR(G19)&amp;"-"&amp;ROUNDUP(MONTH(G19)/3,0))*(地价!X2:AB2=E2)*(地价!X3:AB21)),IF(H19="地价指数",M20/M19,(1+I19)^O19)),4)</f>
        <v>#DIV/0!</v>
      </c>
      <c r="D19" s="1475" t="s">
        <v>957</v>
      </c>
      <c r="E19" s="1058">
        <v>41640</v>
      </c>
      <c r="F19" s="1475" t="s">
        <v>958</v>
      </c>
      <c r="G19" s="1059">
        <f>'数据-取费表'!B2</f>
        <v>43166</v>
      </c>
      <c r="H19" s="1476" t="s">
        <v>2938</v>
      </c>
      <c r="I19" s="2811" t="str">
        <f>IF(H19="季度增幅（自定义）",SUMIF(N21:N24,E2,O21:O24),"")</f>
        <v/>
      </c>
      <c r="J19" s="1472"/>
      <c r="K19" s="1482"/>
      <c r="L19" s="3067" t="s">
        <v>2843</v>
      </c>
      <c r="M19" s="3068">
        <f>ROUND(SUMIF(地价!B2:F2,E2,地价!B21:F21),0)</f>
        <v>0</v>
      </c>
      <c r="N19" s="2813" t="s">
        <v>1676</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1836</v>
      </c>
      <c r="B20" s="2806" t="s">
        <v>971</v>
      </c>
      <c r="C20" s="2807" t="e">
        <f>ROUND(POWER(1+G20,J20-I20)*(POWER(1+G20,I20)-1)/(POWER(1+G20,J20)-1),4)</f>
        <v>#DIV/0!</v>
      </c>
      <c r="D20" s="2808" t="s">
        <v>972</v>
      </c>
      <c r="E20" s="3123">
        <f ca="1">存贷款利率!I4/100</f>
        <v>4.3499999999999997E-2</v>
      </c>
      <c r="F20" s="2808" t="s">
        <v>973</v>
      </c>
      <c r="G20" s="2809">
        <f>SUMIF(M15:P15,E2,M17:P17)</f>
        <v>0</v>
      </c>
      <c r="H20" s="2808" t="s">
        <v>974</v>
      </c>
      <c r="I20" s="2798" t="e">
        <f>SUMIF('数据-取费表'!C6:C15,E2,'数据-取费表'!F6:F15)/COUNTIF('数据-取费表'!C6:C15,E2)</f>
        <v>#DIV/0!</v>
      </c>
      <c r="J20" s="2810">
        <f>IF(E2="住宅",70,IF(E2="商业",40,50))</f>
        <v>50</v>
      </c>
      <c r="K20" s="1482"/>
      <c r="L20" s="3069" t="s">
        <v>2844</v>
      </c>
      <c r="M20" s="3070">
        <f>ROUND(SUMPRODUCT((地价!A4:A21=YEAR(G19)&amp;"-"&amp;ROUNDUP(MONTH(G19)/3,0))*(地价!B2:F2=E2)*(地价!B4:F21)),0)</f>
        <v>0</v>
      </c>
      <c r="N20" s="2816" t="s">
        <v>2647</v>
      </c>
      <c r="O20" s="2814" t="s">
        <v>2646</v>
      </c>
      <c r="P20" s="2815" t="s">
        <v>2652</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f>IF(E22=G22,F22,IF(G3&lt;=10,ROUND(F22+(H22-F22)*(G3-E22)/(G22-E22),4),"——"))</f>
        <v>0</v>
      </c>
      <c r="E22" s="1039">
        <f>ROUNDDOWN(G3,1)</f>
        <v>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1.1000000000000001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824" t="s">
        <v>2650</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35" t="s">
        <v>2965</v>
      </c>
      <c r="B33" s="1525" t="s">
        <v>999</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36"/>
      <c r="B34" s="1446" t="s">
        <v>1000</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36"/>
      <c r="B35" s="1446" t="s">
        <v>1001</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37"/>
      <c r="B36" s="1446" t="s">
        <v>1002</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1006</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1007</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34" t="s">
        <v>1009</v>
      </c>
      <c r="C46" s="2456" t="s">
        <v>1010</v>
      </c>
      <c r="D46" s="2457" t="s">
        <v>1011</v>
      </c>
      <c r="E46" s="2458" t="s">
        <v>1013</v>
      </c>
      <c r="F46" s="2459" t="s">
        <v>2250</v>
      </c>
      <c r="G46" s="2457" t="s">
        <v>1014</v>
      </c>
      <c r="H46" s="2440" t="s">
        <v>2418</v>
      </c>
      <c r="I46" s="2457" t="s">
        <v>1012</v>
      </c>
      <c r="J46" s="2460" t="s">
        <v>1015</v>
      </c>
      <c r="K46" s="2460" t="s">
        <v>1016</v>
      </c>
      <c r="L46" s="2460" t="s">
        <v>1017</v>
      </c>
      <c r="M46" s="2460" t="s">
        <v>1018</v>
      </c>
      <c r="N46" s="2460"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1021</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125" t="s">
        <v>2940</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124" t="s">
        <v>2939</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1026</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1027</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1028</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1029</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34"/>
      <c r="C57" s="2456" t="s">
        <v>1010</v>
      </c>
      <c r="D57" s="2457" t="s">
        <v>1011</v>
      </c>
      <c r="E57" s="2458" t="s">
        <v>1013</v>
      </c>
      <c r="F57" s="2459" t="s">
        <v>2251</v>
      </c>
      <c r="G57" s="2457" t="s">
        <v>1014</v>
      </c>
      <c r="H57" s="2440" t="s">
        <v>2418</v>
      </c>
      <c r="I57" s="2457" t="s">
        <v>1012</v>
      </c>
      <c r="J57" s="2460" t="s">
        <v>1015</v>
      </c>
      <c r="K57" s="2460" t="s">
        <v>1016</v>
      </c>
      <c r="L57" s="2460" t="s">
        <v>1017</v>
      </c>
      <c r="M57" s="2460" t="s">
        <v>1018</v>
      </c>
      <c r="N57" s="2460"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1021</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125" t="s">
        <v>2941</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124" t="s">
        <v>2939</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1028</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1031</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34"/>
      <c r="C68" s="2456" t="s">
        <v>1010</v>
      </c>
      <c r="D68" s="2457" t="s">
        <v>1011</v>
      </c>
      <c r="E68" s="2458" t="s">
        <v>1013</v>
      </c>
      <c r="F68" s="2459" t="s">
        <v>2252</v>
      </c>
      <c r="G68" s="2457" t="s">
        <v>1014</v>
      </c>
      <c r="H68" s="2440" t="s">
        <v>2418</v>
      </c>
      <c r="I68" s="2457" t="s">
        <v>1012</v>
      </c>
      <c r="J68" s="2460" t="s">
        <v>1015</v>
      </c>
      <c r="K68" s="2460" t="s">
        <v>1016</v>
      </c>
      <c r="L68" s="2460" t="s">
        <v>1017</v>
      </c>
      <c r="M68" s="2460" t="s">
        <v>1018</v>
      </c>
      <c r="N68" s="2460"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1032</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1033</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124" t="s">
        <v>2939</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1028</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1035</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1036</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1008</v>
      </c>
      <c r="B79" s="2434"/>
      <c r="C79" s="2456" t="s">
        <v>1010</v>
      </c>
      <c r="D79" s="2457" t="s">
        <v>1011</v>
      </c>
      <c r="E79" s="2458" t="s">
        <v>1013</v>
      </c>
      <c r="F79" s="2459" t="s">
        <v>2253</v>
      </c>
      <c r="G79" s="2457" t="s">
        <v>1014</v>
      </c>
      <c r="H79" s="2440" t="s">
        <v>2418</v>
      </c>
      <c r="I79" s="2457" t="s">
        <v>1012</v>
      </c>
      <c r="J79" s="2460" t="s">
        <v>1015</v>
      </c>
      <c r="K79" s="2460" t="s">
        <v>1016</v>
      </c>
      <c r="L79" s="2460" t="s">
        <v>1017</v>
      </c>
      <c r="M79" s="2460" t="s">
        <v>1018</v>
      </c>
      <c r="N79" s="2460" t="s">
        <v>1019</v>
      </c>
      <c r="AC79" s="1406"/>
      <c r="AD79" s="1405"/>
      <c r="AJ79" s="1404"/>
      <c r="AN79" s="1405"/>
    </row>
    <row r="80" spans="1:40" ht="36">
      <c r="A80" s="1067" t="s">
        <v>1037</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1033</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1022</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1034</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1026</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1027</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1025</v>
      </c>
      <c r="B86" s="3124" t="s">
        <v>2939</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1038</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33" t="s">
        <v>1633</v>
      </c>
      <c r="B90" s="3733"/>
      <c r="C90" s="3733"/>
      <c r="D90" s="3733"/>
      <c r="E90" s="3733"/>
      <c r="F90" s="3733"/>
      <c r="G90" s="3733"/>
      <c r="H90" s="3733"/>
      <c r="I90" s="3733"/>
      <c r="J90" s="3733"/>
      <c r="K90" s="2476"/>
      <c r="L90" s="2476"/>
      <c r="M90" s="2476"/>
      <c r="N90" s="2476"/>
    </row>
    <row r="91" spans="1:40">
      <c r="A91" s="3734" t="s">
        <v>1443</v>
      </c>
      <c r="B91" s="3734" t="s">
        <v>1634</v>
      </c>
      <c r="C91" s="1140" t="s">
        <v>1635</v>
      </c>
      <c r="D91" s="1141"/>
      <c r="E91" s="1141"/>
      <c r="F91" s="1141"/>
      <c r="G91" s="1141"/>
      <c r="H91" s="1141"/>
      <c r="I91" s="1141"/>
      <c r="J91" s="1142"/>
      <c r="K91" s="1134"/>
      <c r="L91" s="1134"/>
      <c r="M91" s="1134"/>
      <c r="N91" s="1134"/>
    </row>
    <row r="92" spans="1:40">
      <c r="A92" s="3734"/>
      <c r="B92" s="3734"/>
      <c r="C92" s="2475" t="s">
        <v>906</v>
      </c>
      <c r="D92" s="2475" t="s">
        <v>884</v>
      </c>
      <c r="E92" s="2475" t="s">
        <v>885</v>
      </c>
      <c r="F92" s="2475" t="s">
        <v>909</v>
      </c>
      <c r="G92" s="2475" t="s">
        <v>887</v>
      </c>
      <c r="H92" s="2475" t="s">
        <v>888</v>
      </c>
      <c r="I92" s="2475" t="s">
        <v>889</v>
      </c>
      <c r="J92" s="2475" t="s">
        <v>890</v>
      </c>
      <c r="K92" s="2475" t="s">
        <v>914</v>
      </c>
      <c r="L92" s="2475" t="s">
        <v>892</v>
      </c>
      <c r="M92" s="2475" t="s">
        <v>893</v>
      </c>
      <c r="N92" s="2475" t="s">
        <v>917</v>
      </c>
    </row>
    <row r="93" spans="1:40">
      <c r="A93" s="3723"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2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2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2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2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2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24"/>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2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23" t="s">
        <v>1637</v>
      </c>
      <c r="B101" s="1147" t="s">
        <v>905</v>
      </c>
      <c r="C101" s="1148">
        <f>$G$3</f>
        <v>1.05</v>
      </c>
      <c r="D101" s="1148">
        <f t="shared" ref="D101:N101" si="31">$G$3</f>
        <v>1.05</v>
      </c>
      <c r="E101" s="1148">
        <f t="shared" si="31"/>
        <v>1.05</v>
      </c>
      <c r="F101" s="1148">
        <f t="shared" si="31"/>
        <v>1.05</v>
      </c>
      <c r="G101" s="1148">
        <f t="shared" si="31"/>
        <v>1.05</v>
      </c>
      <c r="H101" s="1148">
        <f t="shared" si="31"/>
        <v>1.05</v>
      </c>
      <c r="I101" s="1148">
        <f t="shared" si="31"/>
        <v>1.05</v>
      </c>
      <c r="J101" s="1148">
        <f t="shared" si="31"/>
        <v>1.05</v>
      </c>
      <c r="K101" s="1148">
        <f t="shared" si="31"/>
        <v>1.05</v>
      </c>
      <c r="L101" s="1148">
        <f t="shared" si="31"/>
        <v>1.05</v>
      </c>
      <c r="M101" s="1148">
        <f t="shared" si="31"/>
        <v>1.05</v>
      </c>
      <c r="N101" s="1148">
        <f t="shared" si="31"/>
        <v>1.05</v>
      </c>
    </row>
    <row r="102" spans="1:14">
      <c r="A102" s="3724"/>
      <c r="B102" s="1143">
        <v>1</v>
      </c>
      <c r="C102" s="1144">
        <f>1.9362/C101</f>
        <v>1.8439999999999999</v>
      </c>
      <c r="D102" s="1144">
        <f>1.9362/D101</f>
        <v>1.8439999999999999</v>
      </c>
      <c r="E102" s="1144">
        <f>1.8629/E101</f>
        <v>1.7741904761904761</v>
      </c>
      <c r="F102" s="1144">
        <f>1.8629/F101</f>
        <v>1.7741904761904761</v>
      </c>
      <c r="G102" s="1144">
        <f>1.8629/G101</f>
        <v>1.7741904761904761</v>
      </c>
      <c r="H102" s="1144">
        <f>1.8629/H101</f>
        <v>1.7741904761904761</v>
      </c>
      <c r="I102" s="1144">
        <f>1.8629/I101</f>
        <v>1.7741904761904761</v>
      </c>
      <c r="J102" s="1144">
        <f>1.942/J101</f>
        <v>1.8495238095238093</v>
      </c>
      <c r="K102" s="1144">
        <f>1.942/K101</f>
        <v>1.8495238095238093</v>
      </c>
      <c r="L102" s="1144">
        <f>1.942/L101</f>
        <v>1.8495238095238093</v>
      </c>
      <c r="M102" s="1144">
        <f>1.942/M101</f>
        <v>1.8495238095238093</v>
      </c>
      <c r="N102" s="1144">
        <f>1.942/N101</f>
        <v>1.8495238095238093</v>
      </c>
    </row>
    <row r="103" spans="1:14">
      <c r="A103" s="3724"/>
      <c r="B103" s="1143">
        <v>2</v>
      </c>
      <c r="C103" s="1144">
        <f>1.4198/C101</f>
        <v>1.3521904761904762</v>
      </c>
      <c r="D103" s="1144">
        <f>1.4198/D101</f>
        <v>1.3521904761904762</v>
      </c>
      <c r="E103" s="1144">
        <f>1.3372/E101</f>
        <v>1.2735238095238095</v>
      </c>
      <c r="F103" s="1144">
        <f>1.3372/F101</f>
        <v>1.2735238095238095</v>
      </c>
      <c r="G103" s="1144">
        <f>1.3372/G101</f>
        <v>1.2735238095238095</v>
      </c>
      <c r="H103" s="1144">
        <f>1.3372/H101</f>
        <v>1.2735238095238095</v>
      </c>
      <c r="I103" s="1144">
        <f>1.3372/I101</f>
        <v>1.2735238095238095</v>
      </c>
      <c r="J103" s="1144">
        <f>1.2799/J101</f>
        <v>1.218952380952381</v>
      </c>
      <c r="K103" s="1144">
        <f>1.2799/K101</f>
        <v>1.218952380952381</v>
      </c>
      <c r="L103" s="1144">
        <f>1.2799/L101</f>
        <v>1.218952380952381</v>
      </c>
      <c r="M103" s="1144">
        <f>1.2799/M101</f>
        <v>1.218952380952381</v>
      </c>
      <c r="N103" s="1144">
        <f>1.2799/N101</f>
        <v>1.218952380952381</v>
      </c>
    </row>
    <row r="104" spans="1:14">
      <c r="A104" s="3724"/>
      <c r="B104" s="1143">
        <v>3</v>
      </c>
      <c r="C104" s="1144">
        <f>1.1594/C101</f>
        <v>1.1041904761904762</v>
      </c>
      <c r="D104" s="1144">
        <f>1.1594/D101</f>
        <v>1.1041904761904762</v>
      </c>
      <c r="E104" s="1144">
        <f>1.0788/E101</f>
        <v>1.0274285714285714</v>
      </c>
      <c r="F104" s="1144">
        <f>1.0788/F101</f>
        <v>1.0274285714285714</v>
      </c>
      <c r="G104" s="1144">
        <f>1.0788/G101</f>
        <v>1.0274285714285714</v>
      </c>
      <c r="H104" s="1144">
        <f>1.0788/H101</f>
        <v>1.0274285714285714</v>
      </c>
      <c r="I104" s="1144">
        <f>1.0788/I101</f>
        <v>1.0274285714285714</v>
      </c>
      <c r="J104" s="1144">
        <f>1.0072/J101</f>
        <v>0.95923809523809533</v>
      </c>
      <c r="K104" s="1144">
        <f>1.0072/K101</f>
        <v>0.95923809523809533</v>
      </c>
      <c r="L104" s="1144">
        <f>1.0072/L101</f>
        <v>0.95923809523809533</v>
      </c>
      <c r="M104" s="1144">
        <f>1.0072/M101</f>
        <v>0.95923809523809533</v>
      </c>
      <c r="N104" s="1144">
        <f>1.0072/N101</f>
        <v>0.95923809523809533</v>
      </c>
    </row>
    <row r="105" spans="1:14">
      <c r="A105" s="3724"/>
      <c r="B105" s="1143">
        <v>4</v>
      </c>
      <c r="C105" s="1144">
        <f>0.9622/C101</f>
        <v>0.91638095238095241</v>
      </c>
      <c r="D105" s="1144">
        <f>0.9622/D101</f>
        <v>0.91638095238095241</v>
      </c>
      <c r="E105" s="1144">
        <f>0.8656/E101</f>
        <v>0.82438095238095233</v>
      </c>
      <c r="F105" s="1144">
        <f>0.8656/F101</f>
        <v>0.82438095238095233</v>
      </c>
      <c r="G105" s="1144">
        <f>0.8656/G101</f>
        <v>0.82438095238095233</v>
      </c>
      <c r="H105" s="1144">
        <f>0.8656/H101</f>
        <v>0.82438095238095233</v>
      </c>
      <c r="I105" s="1144">
        <f>0.8656/I101</f>
        <v>0.82438095238095233</v>
      </c>
      <c r="J105" s="1144">
        <f>0.7525/J101</f>
        <v>0.71666666666666656</v>
      </c>
      <c r="K105" s="1144">
        <f>0.7525/K101</f>
        <v>0.71666666666666656</v>
      </c>
      <c r="L105" s="1144">
        <f>0.7525/L101</f>
        <v>0.71666666666666656</v>
      </c>
      <c r="M105" s="1144">
        <f>0.7525/M101</f>
        <v>0.71666666666666656</v>
      </c>
      <c r="N105" s="1144">
        <f>0.7525/N101</f>
        <v>0.71666666666666656</v>
      </c>
    </row>
    <row r="106" spans="1:14">
      <c r="A106" s="3724"/>
      <c r="B106" s="1143">
        <v>5</v>
      </c>
      <c r="C106" s="1144">
        <f>0.8417/C101</f>
        <v>0.80161904761904756</v>
      </c>
      <c r="D106" s="1144">
        <f>0.8417/D101</f>
        <v>0.80161904761904756</v>
      </c>
      <c r="E106" s="1144">
        <f>0.7371/E101</f>
        <v>0.70199999999999996</v>
      </c>
      <c r="F106" s="1144">
        <f>0.7371/F101</f>
        <v>0.70199999999999996</v>
      </c>
      <c r="G106" s="1144">
        <f>0.7371/G101</f>
        <v>0.70199999999999996</v>
      </c>
      <c r="H106" s="1144">
        <f>0.7371/H101</f>
        <v>0.70199999999999996</v>
      </c>
      <c r="I106" s="1144">
        <f>0.7371/I101</f>
        <v>0.70199999999999996</v>
      </c>
      <c r="J106" s="1144">
        <f>0.5659/J101</f>
        <v>0.53895238095238085</v>
      </c>
      <c r="K106" s="1144">
        <f>0.5659/K101</f>
        <v>0.53895238095238085</v>
      </c>
      <c r="L106" s="1144">
        <f>0.5659/L101</f>
        <v>0.53895238095238085</v>
      </c>
      <c r="M106" s="1144">
        <f>0.5659/M101</f>
        <v>0.53895238095238085</v>
      </c>
      <c r="N106" s="1144">
        <f>0.5659/N101</f>
        <v>0.53895238095238085</v>
      </c>
    </row>
    <row r="107" spans="1:14">
      <c r="A107" s="3724"/>
      <c r="B107" s="1143">
        <v>6</v>
      </c>
      <c r="C107" s="1144">
        <f>0.7608/C101</f>
        <v>0.72457142857142853</v>
      </c>
      <c r="D107" s="1144">
        <f>0.7608/D101</f>
        <v>0.72457142857142853</v>
      </c>
      <c r="E107" s="1144">
        <f>0.6482/E101</f>
        <v>0.61733333333333329</v>
      </c>
      <c r="F107" s="1144">
        <f>0.6482/F101</f>
        <v>0.61733333333333329</v>
      </c>
      <c r="G107" s="1144">
        <f>0.6482/G101</f>
        <v>0.61733333333333329</v>
      </c>
      <c r="H107" s="1144">
        <f>0.6482/H101</f>
        <v>0.61733333333333329</v>
      </c>
      <c r="I107" s="1144">
        <f>0.6482/I101</f>
        <v>0.61733333333333329</v>
      </c>
      <c r="J107" s="1144">
        <f>0.4525/J101</f>
        <v>0.43095238095238092</v>
      </c>
      <c r="K107" s="1144">
        <f>0.4525/K101</f>
        <v>0.43095238095238092</v>
      </c>
      <c r="L107" s="1144">
        <f>0.4525/L101</f>
        <v>0.43095238095238092</v>
      </c>
      <c r="M107" s="1144">
        <f>0.4525/M101</f>
        <v>0.43095238095238092</v>
      </c>
      <c r="N107" s="1144">
        <f>0.4525/N101</f>
        <v>0.43095238095238092</v>
      </c>
    </row>
    <row r="108" spans="1:14">
      <c r="A108" s="3724"/>
      <c r="B108" s="3726"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25"/>
      <c r="B109" s="3727"/>
      <c r="C109" s="1146">
        <f>(-0.163*(C108^2)-0.59*C108+7617)*(10^(-4))/C101</f>
        <v>0.72398552380952375</v>
      </c>
      <c r="D109" s="1146">
        <f>(-0.163*(D108^2)-0.59*D108+7617)*(10^(-4))/D101</f>
        <v>0.72398552380952375</v>
      </c>
      <c r="E109" s="1146">
        <f>(-0.161*(E108^2)-7.509*E108+6533)*(10^(-4))/E101</f>
        <v>0.61548800000000004</v>
      </c>
      <c r="F109" s="1146">
        <f>(-0.161*(F108^2)-7.509*F108+6533)*(10^(-4))/F101</f>
        <v>0.61548800000000004</v>
      </c>
      <c r="G109" s="1146">
        <f>(-0.161*(G108^2)-7.509*G108+6533)*(10^(-4))/G101</f>
        <v>0.61548800000000004</v>
      </c>
      <c r="H109" s="1146">
        <f>(-0.161*(H108^2)-7.509*H108+6533)*(10^(-4))/H101</f>
        <v>0.61548800000000004</v>
      </c>
      <c r="I109" s="1146">
        <f>(-0.161*(I108^2)-7.509*I108+6533)*(10^(-4))/I101</f>
        <v>0.61548800000000004</v>
      </c>
      <c r="J109" s="1146">
        <f>(-0.214*(J108^2)-21.991*J108+4665)*(10^(-4))/J101</f>
        <v>0.42622628571428572</v>
      </c>
      <c r="K109" s="1146">
        <f>(-0.214*(K108^2)-21.991*K108+4665)*(10^(-4))/K101</f>
        <v>0.42622628571428572</v>
      </c>
      <c r="L109" s="1146">
        <f>(-0.214*(L108^2)-21.991*L108+4665)*(10^(-4))/L101</f>
        <v>0.42622628571428572</v>
      </c>
      <c r="M109" s="1146">
        <f>(-0.214*(M108^2)-21.991*M108+4665)*(10^(-4))/M101</f>
        <v>0.42622628571428572</v>
      </c>
      <c r="N109" s="1146">
        <f>(-0.214*(N108^2)-21.991*N108+4665)*(10^(-4))/N101</f>
        <v>0.42622628571428572</v>
      </c>
    </row>
    <row r="110" spans="1:14">
      <c r="A110" s="3728" t="s">
        <v>1639</v>
      </c>
      <c r="B110" s="3728"/>
      <c r="C110" s="3728"/>
      <c r="D110" s="3728"/>
      <c r="E110" s="3728"/>
      <c r="F110" s="3728"/>
      <c r="G110" s="3728"/>
      <c r="H110" s="3728"/>
      <c r="I110" s="3728"/>
      <c r="J110" s="3728"/>
      <c r="K110" s="2474"/>
      <c r="L110" s="2474"/>
      <c r="M110" s="2474"/>
      <c r="N110" s="2474"/>
    </row>
    <row r="112" spans="1:14" ht="12.75" thickBot="1"/>
    <row r="113" spans="1:13" ht="25.5" thickBot="1">
      <c r="A113" s="1016" t="s">
        <v>895</v>
      </c>
      <c r="B113" s="2477">
        <f>G3</f>
        <v>1.05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0.92359999999999998</v>
      </c>
      <c r="C115" s="1030">
        <f>B115</f>
        <v>0.92359999999999998</v>
      </c>
      <c r="D115" s="1030">
        <f>ROUND(0.8331-0.0109*B113,4)</f>
        <v>0.82169999999999999</v>
      </c>
      <c r="E115" s="1030">
        <f>D115</f>
        <v>0.82169999999999999</v>
      </c>
      <c r="F115" s="1030">
        <f>E115</f>
        <v>0.82169999999999999</v>
      </c>
      <c r="G115" s="1030">
        <f>F115</f>
        <v>0.82169999999999999</v>
      </c>
      <c r="H115" s="1030">
        <f>G115</f>
        <v>0.82169999999999999</v>
      </c>
      <c r="I115" s="1030">
        <f>ROUND(0.689-0.0155*B113,4)</f>
        <v>0.67269999999999996</v>
      </c>
      <c r="J115" s="1030">
        <f t="shared" ref="J115:M118" si="33">I115</f>
        <v>0.67269999999999996</v>
      </c>
      <c r="K115" s="1030">
        <f t="shared" si="33"/>
        <v>0.67269999999999996</v>
      </c>
      <c r="L115" s="1030">
        <f t="shared" si="33"/>
        <v>0.67269999999999996</v>
      </c>
      <c r="M115" s="1031">
        <f t="shared" si="33"/>
        <v>0.67269999999999996</v>
      </c>
    </row>
    <row r="116" spans="1:13" ht="12.75">
      <c r="A116" s="1029" t="s">
        <v>900</v>
      </c>
      <c r="B116" s="1030">
        <f>ROUND(0.949-0.012*B113,4)</f>
        <v>0.93640000000000001</v>
      </c>
      <c r="C116" s="1030">
        <f>B116</f>
        <v>0.93640000000000001</v>
      </c>
      <c r="D116" s="1030">
        <f>ROUND(0.8567-0.013*B113,4)</f>
        <v>0.84309999999999996</v>
      </c>
      <c r="E116" s="1030">
        <f t="shared" ref="E116:H117" si="34">D116</f>
        <v>0.84309999999999996</v>
      </c>
      <c r="F116" s="1030">
        <f t="shared" si="34"/>
        <v>0.84309999999999996</v>
      </c>
      <c r="G116" s="1030">
        <f t="shared" si="34"/>
        <v>0.84309999999999996</v>
      </c>
      <c r="H116" s="1030">
        <f t="shared" si="34"/>
        <v>0.84309999999999996</v>
      </c>
      <c r="I116" s="1030">
        <f>ROUND(0.7694-0.014*B113,4)</f>
        <v>0.75470000000000004</v>
      </c>
      <c r="J116" s="1030">
        <f t="shared" si="33"/>
        <v>0.75470000000000004</v>
      </c>
      <c r="K116" s="1030">
        <f t="shared" si="33"/>
        <v>0.75470000000000004</v>
      </c>
      <c r="L116" s="1030">
        <f t="shared" si="33"/>
        <v>0.75470000000000004</v>
      </c>
      <c r="M116" s="1031">
        <f t="shared" si="33"/>
        <v>0.75470000000000004</v>
      </c>
    </row>
    <row r="117" spans="1:13" ht="12.75">
      <c r="A117" s="1032" t="s">
        <v>901</v>
      </c>
      <c r="B117" s="1030">
        <f>ROUND(0.8808-0.006*B113,4)</f>
        <v>0.87450000000000006</v>
      </c>
      <c r="C117" s="1030">
        <f>B117</f>
        <v>0.87450000000000006</v>
      </c>
      <c r="D117" s="1030">
        <f>ROUND(0.8748-0.008*B113,4)</f>
        <v>0.86639999999999995</v>
      </c>
      <c r="E117" s="1030">
        <f t="shared" si="34"/>
        <v>0.86639999999999995</v>
      </c>
      <c r="F117" s="1030">
        <f t="shared" si="34"/>
        <v>0.86639999999999995</v>
      </c>
      <c r="G117" s="1030">
        <f t="shared" si="34"/>
        <v>0.86639999999999995</v>
      </c>
      <c r="H117" s="1030">
        <f t="shared" si="34"/>
        <v>0.86639999999999995</v>
      </c>
      <c r="I117" s="1030">
        <f>ROUND(0.7412-0.0095*B113,4)</f>
        <v>0.73119999999999996</v>
      </c>
      <c r="J117" s="1030">
        <f t="shared" si="33"/>
        <v>0.73119999999999996</v>
      </c>
      <c r="K117" s="1030">
        <f t="shared" si="33"/>
        <v>0.73119999999999996</v>
      </c>
      <c r="L117" s="1030">
        <f t="shared" si="33"/>
        <v>0.73119999999999996</v>
      </c>
      <c r="M117" s="1031">
        <f t="shared" si="33"/>
        <v>0.73119999999999996</v>
      </c>
    </row>
    <row r="118" spans="1:13" ht="13.5" thickBot="1">
      <c r="A118" s="1033" t="s">
        <v>902</v>
      </c>
      <c r="B118" s="1034">
        <f>ROUND(0.7275-0.01*B113,4)</f>
        <v>0.71699999999999997</v>
      </c>
      <c r="C118" s="1034">
        <f>B118</f>
        <v>0.71699999999999997</v>
      </c>
      <c r="D118" s="1034">
        <f>ROUND(0.7043-0.012*B113,4)</f>
        <v>0.69169999999999998</v>
      </c>
      <c r="E118" s="1034">
        <f>D118</f>
        <v>0.69169999999999998</v>
      </c>
      <c r="F118" s="1034">
        <f>E118</f>
        <v>0.69169999999999998</v>
      </c>
      <c r="G118" s="1034">
        <f>ROUND(0.6299-0.0122*B113,4)</f>
        <v>0.61709999999999998</v>
      </c>
      <c r="H118" s="1034">
        <f>G118</f>
        <v>0.61709999999999998</v>
      </c>
      <c r="I118" s="1034">
        <f>ROUND(0.5667-0.0136*B113,4)</f>
        <v>0.5524</v>
      </c>
      <c r="J118" s="1034">
        <f t="shared" si="33"/>
        <v>0.5524</v>
      </c>
      <c r="K118" s="1034">
        <f t="shared" si="33"/>
        <v>0.5524</v>
      </c>
      <c r="L118" s="1034">
        <f t="shared" si="33"/>
        <v>0.5524</v>
      </c>
      <c r="M118" s="1035">
        <f t="shared" si="33"/>
        <v>0.5524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734" t="s">
        <v>1007</v>
      </c>
      <c r="B18" s="1154" t="s">
        <v>1446</v>
      </c>
      <c r="C18" s="1131" t="s">
        <v>1447</v>
      </c>
      <c r="D18" s="1132"/>
      <c r="E18" s="1154">
        <v>1</v>
      </c>
      <c r="F18" s="1133" t="s">
        <v>1448</v>
      </c>
      <c r="G18" s="1134"/>
      <c r="H18" s="1105"/>
      <c r="I18" s="1105"/>
    </row>
    <row r="19" spans="1:9" s="1600" customFormat="1" ht="19.5" customHeight="1">
      <c r="A19" s="3734"/>
      <c r="B19" s="3734" t="s">
        <v>1449</v>
      </c>
      <c r="C19" s="1131" t="s">
        <v>1450</v>
      </c>
      <c r="D19" s="1132"/>
      <c r="E19" s="1154">
        <v>0.9</v>
      </c>
      <c r="F19" s="1133" t="s">
        <v>1451</v>
      </c>
      <c r="G19" s="1134"/>
      <c r="H19" s="1105"/>
      <c r="I19" s="1105"/>
    </row>
    <row r="20" spans="1:9" s="1600" customFormat="1" ht="19.5" customHeight="1">
      <c r="A20" s="3734"/>
      <c r="B20" s="3734"/>
      <c r="C20" s="1131" t="s">
        <v>1452</v>
      </c>
      <c r="D20" s="1132"/>
      <c r="E20" s="1154">
        <v>1.1000000000000001</v>
      </c>
      <c r="F20" s="1133" t="s">
        <v>1453</v>
      </c>
      <c r="G20" s="1134"/>
      <c r="H20" s="1105"/>
      <c r="I20" s="1105"/>
    </row>
    <row r="21" spans="1:9" s="1600" customFormat="1" ht="19.5" customHeight="1">
      <c r="A21" s="3734"/>
      <c r="B21" s="3734"/>
      <c r="C21" s="1131" t="s">
        <v>1454</v>
      </c>
      <c r="D21" s="1132"/>
      <c r="E21" s="1154">
        <v>0.8</v>
      </c>
      <c r="F21" s="1133" t="s">
        <v>1455</v>
      </c>
      <c r="G21" s="1134"/>
      <c r="H21" s="1105"/>
      <c r="I21" s="1105"/>
    </row>
    <row r="22" spans="1:9" s="1600" customFormat="1" ht="19.5" customHeight="1">
      <c r="A22" s="3734"/>
      <c r="B22" s="3734"/>
      <c r="C22" s="1131" t="s">
        <v>1456</v>
      </c>
      <c r="D22" s="1132"/>
      <c r="E22" s="1154">
        <v>0.5</v>
      </c>
      <c r="F22" s="1133"/>
      <c r="G22" s="1134"/>
      <c r="H22" s="1105"/>
      <c r="I22" s="1105"/>
    </row>
    <row r="23" spans="1:9" s="1600" customFormat="1" ht="19.5" customHeight="1">
      <c r="A23" s="3734" t="s">
        <v>1029</v>
      </c>
      <c r="B23" s="1154" t="s">
        <v>1446</v>
      </c>
      <c r="C23" s="1131" t="s">
        <v>1457</v>
      </c>
      <c r="D23" s="1132"/>
      <c r="E23" s="1154">
        <v>1</v>
      </c>
      <c r="F23" s="1133" t="s">
        <v>1458</v>
      </c>
      <c r="G23" s="1134"/>
      <c r="H23" s="1105"/>
      <c r="I23" s="1105"/>
    </row>
    <row r="24" spans="1:9" s="1600" customFormat="1" ht="19.5" customHeight="1">
      <c r="A24" s="3734"/>
      <c r="B24" s="3734" t="s">
        <v>1449</v>
      </c>
      <c r="C24" s="1131" t="s">
        <v>1459</v>
      </c>
      <c r="D24" s="1132"/>
      <c r="E24" s="1154">
        <v>0.5</v>
      </c>
      <c r="F24" s="1133"/>
      <c r="G24" s="1134"/>
      <c r="H24" s="1105"/>
      <c r="I24" s="1105"/>
    </row>
    <row r="25" spans="1:9" s="1600" customFormat="1" ht="19.5" customHeight="1">
      <c r="A25" s="3734"/>
      <c r="B25" s="3734"/>
      <c r="C25" s="1131" t="s">
        <v>1460</v>
      </c>
      <c r="D25" s="1132"/>
      <c r="E25" s="1154">
        <v>1.1000000000000001</v>
      </c>
      <c r="F25" s="1133"/>
      <c r="G25" s="1134"/>
      <c r="H25" s="1105"/>
      <c r="I25" s="1105"/>
    </row>
    <row r="26" spans="1:9" s="1600" customFormat="1" ht="19.5" customHeight="1">
      <c r="A26" s="3734"/>
      <c r="B26" s="3734"/>
      <c r="C26" s="1131" t="s">
        <v>1461</v>
      </c>
      <c r="D26" s="1132"/>
      <c r="E26" s="1154">
        <v>1.1000000000000001</v>
      </c>
      <c r="F26" s="1133"/>
      <c r="G26" s="1134"/>
      <c r="H26" s="1105"/>
      <c r="I26" s="1105"/>
    </row>
    <row r="27" spans="1:9" s="1600" customFormat="1" ht="19.5" customHeight="1">
      <c r="A27" s="3734"/>
      <c r="B27" s="3734"/>
      <c r="C27" s="1131" t="s">
        <v>1462</v>
      </c>
      <c r="D27" s="1132"/>
      <c r="E27" s="1154">
        <v>0.9</v>
      </c>
      <c r="F27" s="1133" t="s">
        <v>1463</v>
      </c>
      <c r="G27" s="1134"/>
      <c r="H27" s="1105"/>
      <c r="I27" s="1105"/>
    </row>
    <row r="28" spans="1:9" s="1600" customFormat="1" ht="19.5" customHeight="1">
      <c r="A28" s="3734"/>
      <c r="B28" s="3734"/>
      <c r="C28" s="1131" t="s">
        <v>1464</v>
      </c>
      <c r="D28" s="1132"/>
      <c r="E28" s="1154">
        <v>0.9</v>
      </c>
      <c r="F28" s="1133" t="s">
        <v>1465</v>
      </c>
      <c r="G28" s="1134"/>
      <c r="H28" s="1105"/>
      <c r="I28" s="1105"/>
    </row>
    <row r="29" spans="1:9" s="1600" customFormat="1" ht="19.5" customHeight="1">
      <c r="A29" s="3734"/>
      <c r="B29" s="3734"/>
      <c r="C29" s="1131" t="s">
        <v>1466</v>
      </c>
      <c r="D29" s="1132"/>
      <c r="E29" s="1154">
        <v>0.9</v>
      </c>
      <c r="F29" s="1133" t="s">
        <v>1467</v>
      </c>
      <c r="G29" s="1134"/>
      <c r="H29" s="1105"/>
      <c r="I29" s="1105"/>
    </row>
    <row r="30" spans="1:9" s="1600" customFormat="1" ht="19.5" customHeight="1">
      <c r="A30" s="3734"/>
      <c r="B30" s="3734"/>
      <c r="C30" s="1131" t="s">
        <v>1468</v>
      </c>
      <c r="D30" s="1132"/>
      <c r="E30" s="1154">
        <v>0.9</v>
      </c>
      <c r="F30" s="1133" t="s">
        <v>1469</v>
      </c>
      <c r="G30" s="1134"/>
      <c r="H30" s="1105"/>
      <c r="I30" s="1105"/>
    </row>
    <row r="31" spans="1:9" s="1600" customFormat="1" ht="19.5" customHeight="1">
      <c r="A31" s="3734"/>
      <c r="B31" s="3734"/>
      <c r="C31" s="1131" t="s">
        <v>1470</v>
      </c>
      <c r="D31" s="1132"/>
      <c r="E31" s="1154">
        <v>0.8</v>
      </c>
      <c r="F31" s="1133" t="s">
        <v>1471</v>
      </c>
      <c r="G31" s="1134"/>
      <c r="H31" s="1105"/>
      <c r="I31" s="1105"/>
    </row>
    <row r="32" spans="1:9" s="1600" customFormat="1" ht="19.5" customHeight="1">
      <c r="A32" s="3734"/>
      <c r="B32" s="3734"/>
      <c r="C32" s="1131" t="s">
        <v>1472</v>
      </c>
      <c r="D32" s="1132"/>
      <c r="E32" s="1154">
        <v>0.8</v>
      </c>
      <c r="F32" s="1133" t="s">
        <v>1473</v>
      </c>
      <c r="G32" s="1134"/>
      <c r="H32" s="1105"/>
      <c r="I32" s="1105"/>
    </row>
    <row r="33" spans="1:9" s="1600" customFormat="1" ht="19.5" customHeight="1">
      <c r="A33" s="3734" t="s">
        <v>1474</v>
      </c>
      <c r="B33" s="1154" t="s">
        <v>1446</v>
      </c>
      <c r="C33" s="1131" t="s">
        <v>1475</v>
      </c>
      <c r="D33" s="1132"/>
      <c r="E33" s="1154">
        <v>1</v>
      </c>
      <c r="F33" s="1133" t="s">
        <v>1476</v>
      </c>
      <c r="G33" s="1134"/>
      <c r="H33" s="1105"/>
      <c r="I33" s="1105"/>
    </row>
    <row r="34" spans="1:9" s="1600" customFormat="1" ht="19.5" customHeight="1">
      <c r="A34" s="3734"/>
      <c r="B34" s="1154" t="s">
        <v>1449</v>
      </c>
      <c r="C34" s="1131" t="s">
        <v>1477</v>
      </c>
      <c r="D34" s="1132"/>
      <c r="E34" s="1154">
        <v>1.5</v>
      </c>
      <c r="F34" s="1133" t="s">
        <v>1478</v>
      </c>
      <c r="G34" s="1134"/>
      <c r="H34" s="1105"/>
      <c r="I34" s="1105"/>
    </row>
    <row r="35" spans="1:9" s="1600" customFormat="1" ht="19.5" customHeight="1">
      <c r="A35" s="3734" t="s">
        <v>1432</v>
      </c>
      <c r="B35" s="1154" t="s">
        <v>1446</v>
      </c>
      <c r="C35" s="1131" t="s">
        <v>1479</v>
      </c>
      <c r="D35" s="1132"/>
      <c r="E35" s="1154">
        <v>1</v>
      </c>
      <c r="F35" s="1133" t="s">
        <v>1480</v>
      </c>
      <c r="G35" s="1134"/>
      <c r="H35" s="1105"/>
      <c r="I35" s="1105"/>
    </row>
    <row r="36" spans="1:9" s="1600" customFormat="1" ht="19.5" customHeight="1">
      <c r="A36" s="3734"/>
      <c r="B36" s="3734" t="s">
        <v>1449</v>
      </c>
      <c r="C36" s="1131" t="s">
        <v>1481</v>
      </c>
      <c r="D36" s="1132"/>
      <c r="E36" s="1154">
        <v>1</v>
      </c>
      <c r="F36" s="1133" t="s">
        <v>1482</v>
      </c>
      <c r="G36" s="1134"/>
      <c r="H36" s="1105"/>
      <c r="I36" s="1105"/>
    </row>
    <row r="37" spans="1:9" s="1600" customFormat="1" ht="19.5" customHeight="1">
      <c r="A37" s="3734"/>
      <c r="B37" s="3734"/>
      <c r="C37" s="1131" t="s">
        <v>1483</v>
      </c>
      <c r="D37" s="1132"/>
      <c r="E37" s="1154">
        <v>1.5</v>
      </c>
      <c r="F37" s="1133" t="s">
        <v>1484</v>
      </c>
      <c r="G37" s="1134"/>
      <c r="H37" s="1105"/>
      <c r="I37" s="1105"/>
    </row>
    <row r="38" spans="1:9" s="1600" customFormat="1" ht="19.5" customHeight="1">
      <c r="A38" s="3734"/>
      <c r="B38" s="3734"/>
      <c r="C38" s="1131" t="s">
        <v>1485</v>
      </c>
      <c r="D38" s="1132"/>
      <c r="E38" s="1154">
        <v>1</v>
      </c>
      <c r="F38" s="1133" t="s">
        <v>1486</v>
      </c>
      <c r="G38" s="1134"/>
      <c r="H38" s="1105"/>
      <c r="I38" s="1105"/>
    </row>
    <row r="39" spans="1:9" s="1600" customFormat="1" ht="19.5" customHeight="1">
      <c r="A39" s="3734"/>
      <c r="B39" s="3734"/>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734" t="s">
        <v>1501</v>
      </c>
      <c r="C61" s="1068" t="s">
        <v>1502</v>
      </c>
      <c r="D61" s="1068" t="s">
        <v>1503</v>
      </c>
      <c r="E61" s="1139">
        <v>0.5</v>
      </c>
      <c r="F61" s="1154">
        <v>80</v>
      </c>
      <c r="H61" s="1105">
        <f>SUMIF(C59:C119,基准地价!C8,E59:E119)</f>
        <v>0</v>
      </c>
    </row>
    <row r="62" spans="1:8" s="1105" customFormat="1" ht="24">
      <c r="A62" s="1154">
        <v>2</v>
      </c>
      <c r="B62" s="3734"/>
      <c r="C62" s="1068" t="s">
        <v>1504</v>
      </c>
      <c r="D62" s="1068" t="s">
        <v>1505</v>
      </c>
      <c r="E62" s="1139">
        <v>0.5</v>
      </c>
      <c r="F62" s="1154">
        <v>80</v>
      </c>
    </row>
    <row r="63" spans="1:8" s="1105" customFormat="1" ht="36">
      <c r="A63" s="1154">
        <v>3</v>
      </c>
      <c r="B63" s="3734"/>
      <c r="C63" s="1068" t="s">
        <v>1506</v>
      </c>
      <c r="D63" s="1068" t="s">
        <v>1507</v>
      </c>
      <c r="E63" s="1139">
        <v>0.5</v>
      </c>
      <c r="F63" s="1154">
        <v>80</v>
      </c>
    </row>
    <row r="64" spans="1:8" s="1105" customFormat="1" ht="36">
      <c r="A64" s="1154">
        <v>4</v>
      </c>
      <c r="B64" s="3734"/>
      <c r="C64" s="1068" t="s">
        <v>1508</v>
      </c>
      <c r="D64" s="1068" t="s">
        <v>1509</v>
      </c>
      <c r="E64" s="1139">
        <v>0.4</v>
      </c>
      <c r="F64" s="1154">
        <v>60</v>
      </c>
    </row>
    <row r="65" spans="1:6" s="1105" customFormat="1" ht="36">
      <c r="A65" s="1154">
        <v>5</v>
      </c>
      <c r="B65" s="3734"/>
      <c r="C65" s="1068" t="s">
        <v>1510</v>
      </c>
      <c r="D65" s="1068" t="s">
        <v>1511</v>
      </c>
      <c r="E65" s="1139">
        <v>0.2</v>
      </c>
      <c r="F65" s="1154">
        <v>30</v>
      </c>
    </row>
    <row r="66" spans="1:6" s="1105" customFormat="1" ht="36">
      <c r="A66" s="1154">
        <v>6</v>
      </c>
      <c r="B66" s="3734"/>
      <c r="C66" s="1068" t="s">
        <v>1512</v>
      </c>
      <c r="D66" s="1068" t="s">
        <v>1513</v>
      </c>
      <c r="E66" s="1139">
        <v>0.3</v>
      </c>
      <c r="F66" s="1154">
        <v>50</v>
      </c>
    </row>
    <row r="67" spans="1:6" s="1105" customFormat="1" ht="36">
      <c r="A67" s="1154">
        <v>7</v>
      </c>
      <c r="B67" s="3734"/>
      <c r="C67" s="1068" t="s">
        <v>1514</v>
      </c>
      <c r="D67" s="1068" t="s">
        <v>1515</v>
      </c>
      <c r="E67" s="1139">
        <v>0.2</v>
      </c>
      <c r="F67" s="1154">
        <v>30</v>
      </c>
    </row>
    <row r="68" spans="1:6" s="1105" customFormat="1" ht="36">
      <c r="A68" s="1154">
        <v>8</v>
      </c>
      <c r="B68" s="3734"/>
      <c r="C68" s="1068" t="s">
        <v>1516</v>
      </c>
      <c r="D68" s="1068" t="s">
        <v>1517</v>
      </c>
      <c r="E68" s="1139">
        <v>0.2</v>
      </c>
      <c r="F68" s="1154">
        <v>30</v>
      </c>
    </row>
    <row r="69" spans="1:6" s="1105" customFormat="1" ht="36">
      <c r="A69" s="1154">
        <v>9</v>
      </c>
      <c r="B69" s="3734"/>
      <c r="C69" s="1068" t="s">
        <v>1518</v>
      </c>
      <c r="D69" s="1068" t="s">
        <v>1519</v>
      </c>
      <c r="E69" s="1139">
        <v>0.2</v>
      </c>
      <c r="F69" s="1154">
        <v>30</v>
      </c>
    </row>
    <row r="70" spans="1:6" s="1105" customFormat="1" ht="48">
      <c r="A70" s="1154">
        <v>10</v>
      </c>
      <c r="B70" s="3734"/>
      <c r="C70" s="1068" t="s">
        <v>1520</v>
      </c>
      <c r="D70" s="1068" t="s">
        <v>1521</v>
      </c>
      <c r="E70" s="1139">
        <v>0.2</v>
      </c>
      <c r="F70" s="1154">
        <v>30</v>
      </c>
    </row>
    <row r="71" spans="1:6" s="1105" customFormat="1" ht="48">
      <c r="A71" s="1154">
        <v>11</v>
      </c>
      <c r="B71" s="3734"/>
      <c r="C71" s="1068" t="s">
        <v>1522</v>
      </c>
      <c r="D71" s="1068" t="s">
        <v>1523</v>
      </c>
      <c r="E71" s="1139">
        <v>0.2</v>
      </c>
      <c r="F71" s="1154">
        <v>30</v>
      </c>
    </row>
    <row r="72" spans="1:6" s="1105" customFormat="1" ht="36">
      <c r="A72" s="1154">
        <v>12</v>
      </c>
      <c r="B72" s="3734"/>
      <c r="C72" s="1068" t="s">
        <v>1524</v>
      </c>
      <c r="D72" s="1068" t="s">
        <v>1525</v>
      </c>
      <c r="E72" s="1139">
        <v>0.5</v>
      </c>
      <c r="F72" s="1154">
        <v>80</v>
      </c>
    </row>
    <row r="73" spans="1:6" s="1105" customFormat="1" ht="24">
      <c r="A73" s="1154">
        <v>13</v>
      </c>
      <c r="B73" s="3734"/>
      <c r="C73" s="1068" t="s">
        <v>1526</v>
      </c>
      <c r="D73" s="1068" t="s">
        <v>1527</v>
      </c>
      <c r="E73" s="1139">
        <v>0.4</v>
      </c>
      <c r="F73" s="1154">
        <v>60</v>
      </c>
    </row>
    <row r="74" spans="1:6" s="1105" customFormat="1" ht="24">
      <c r="A74" s="1154">
        <v>14</v>
      </c>
      <c r="B74" s="3734"/>
      <c r="C74" s="1068" t="s">
        <v>1528</v>
      </c>
      <c r="D74" s="1068" t="s">
        <v>1529</v>
      </c>
      <c r="E74" s="1139">
        <v>0.2</v>
      </c>
      <c r="F74" s="1154">
        <v>30</v>
      </c>
    </row>
    <row r="75" spans="1:6" s="1105" customFormat="1" ht="24">
      <c r="A75" s="1154">
        <v>15</v>
      </c>
      <c r="B75" s="3734"/>
      <c r="C75" s="1068" t="s">
        <v>1530</v>
      </c>
      <c r="D75" s="1068" t="s">
        <v>1531</v>
      </c>
      <c r="E75" s="1139">
        <v>0.2</v>
      </c>
      <c r="F75" s="1154">
        <v>30</v>
      </c>
    </row>
    <row r="76" spans="1:6" s="1105" customFormat="1" ht="24">
      <c r="A76" s="1154">
        <v>16</v>
      </c>
      <c r="B76" s="3734" t="s">
        <v>1532</v>
      </c>
      <c r="C76" s="1068" t="s">
        <v>1533</v>
      </c>
      <c r="D76" s="1068" t="s">
        <v>1534</v>
      </c>
      <c r="E76" s="1139">
        <v>0.5</v>
      </c>
      <c r="F76" s="1154">
        <v>80</v>
      </c>
    </row>
    <row r="77" spans="1:6" s="1105" customFormat="1" ht="24">
      <c r="A77" s="1154">
        <v>17</v>
      </c>
      <c r="B77" s="3734"/>
      <c r="C77" s="1068" t="s">
        <v>1535</v>
      </c>
      <c r="D77" s="1068" t="s">
        <v>1536</v>
      </c>
      <c r="E77" s="1139">
        <v>0.5</v>
      </c>
      <c r="F77" s="1154">
        <v>80</v>
      </c>
    </row>
    <row r="78" spans="1:6" s="1105" customFormat="1" ht="24">
      <c r="A78" s="1154">
        <v>18</v>
      </c>
      <c r="B78" s="3734"/>
      <c r="C78" s="1068" t="s">
        <v>1537</v>
      </c>
      <c r="D78" s="1068" t="s">
        <v>1538</v>
      </c>
      <c r="E78" s="1139">
        <v>0.2</v>
      </c>
      <c r="F78" s="1154">
        <v>30</v>
      </c>
    </row>
    <row r="79" spans="1:6" s="1105" customFormat="1" ht="24">
      <c r="A79" s="1154">
        <v>19</v>
      </c>
      <c r="B79" s="3734"/>
      <c r="C79" s="1068" t="s">
        <v>1539</v>
      </c>
      <c r="D79" s="1068" t="s">
        <v>1540</v>
      </c>
      <c r="E79" s="1139">
        <v>0.5</v>
      </c>
      <c r="F79" s="1154">
        <v>80</v>
      </c>
    </row>
    <row r="80" spans="1:6" s="1105" customFormat="1" ht="36">
      <c r="A80" s="1154">
        <v>20</v>
      </c>
      <c r="B80" s="3734"/>
      <c r="C80" s="1068" t="s">
        <v>1541</v>
      </c>
      <c r="D80" s="1068" t="s">
        <v>1542</v>
      </c>
      <c r="E80" s="1139">
        <v>0.2</v>
      </c>
      <c r="F80" s="1154">
        <v>30</v>
      </c>
    </row>
    <row r="81" spans="1:6" s="1105" customFormat="1" ht="36">
      <c r="A81" s="1154">
        <v>21</v>
      </c>
      <c r="B81" s="3734"/>
      <c r="C81" s="1068" t="s">
        <v>1543</v>
      </c>
      <c r="D81" s="1068" t="s">
        <v>1544</v>
      </c>
      <c r="E81" s="1139">
        <v>0.2</v>
      </c>
      <c r="F81" s="1154">
        <v>30</v>
      </c>
    </row>
    <row r="82" spans="1:6" s="1105" customFormat="1" ht="48">
      <c r="A82" s="1154">
        <v>22</v>
      </c>
      <c r="B82" s="3734"/>
      <c r="C82" s="1068" t="s">
        <v>1545</v>
      </c>
      <c r="D82" s="1068" t="s">
        <v>1546</v>
      </c>
      <c r="E82" s="1139">
        <v>0.2</v>
      </c>
      <c r="F82" s="1154">
        <v>30</v>
      </c>
    </row>
    <row r="83" spans="1:6" s="1105" customFormat="1" ht="48">
      <c r="A83" s="1154">
        <v>23</v>
      </c>
      <c r="B83" s="3734"/>
      <c r="C83" s="1068" t="s">
        <v>1547</v>
      </c>
      <c r="D83" s="1068" t="s">
        <v>1548</v>
      </c>
      <c r="E83" s="1139">
        <v>0.2</v>
      </c>
      <c r="F83" s="1154">
        <v>30</v>
      </c>
    </row>
    <row r="84" spans="1:6" s="1105" customFormat="1" ht="36">
      <c r="A84" s="1154">
        <v>24</v>
      </c>
      <c r="B84" s="3734"/>
      <c r="C84" s="1068" t="s">
        <v>1549</v>
      </c>
      <c r="D84" s="1068" t="s">
        <v>1550</v>
      </c>
      <c r="E84" s="1139">
        <v>0.2</v>
      </c>
      <c r="F84" s="1154">
        <v>30</v>
      </c>
    </row>
    <row r="85" spans="1:6" s="1105" customFormat="1" ht="36">
      <c r="A85" s="1154">
        <v>25</v>
      </c>
      <c r="B85" s="3734"/>
      <c r="C85" s="1068" t="s">
        <v>1551</v>
      </c>
      <c r="D85" s="1068" t="s">
        <v>1552</v>
      </c>
      <c r="E85" s="1139">
        <v>0.5</v>
      </c>
      <c r="F85" s="1154">
        <v>80</v>
      </c>
    </row>
    <row r="86" spans="1:6" s="1105" customFormat="1" ht="36">
      <c r="A86" s="1154">
        <v>26</v>
      </c>
      <c r="B86" s="3734"/>
      <c r="C86" s="1068" t="s">
        <v>1553</v>
      </c>
      <c r="D86" s="1068" t="s">
        <v>1554</v>
      </c>
      <c r="E86" s="1139">
        <v>0.2</v>
      </c>
      <c r="F86" s="1154">
        <v>30</v>
      </c>
    </row>
    <row r="87" spans="1:6" s="1105" customFormat="1" ht="36">
      <c r="A87" s="1154">
        <v>27</v>
      </c>
      <c r="B87" s="3734"/>
      <c r="C87" s="1068" t="s">
        <v>1555</v>
      </c>
      <c r="D87" s="1068" t="s">
        <v>1556</v>
      </c>
      <c r="E87" s="1139">
        <v>0.2</v>
      </c>
      <c r="F87" s="1154">
        <v>30</v>
      </c>
    </row>
    <row r="88" spans="1:6" s="1105" customFormat="1" ht="36">
      <c r="A88" s="1154">
        <v>28</v>
      </c>
      <c r="B88" s="3734"/>
      <c r="C88" s="1068" t="s">
        <v>1557</v>
      </c>
      <c r="D88" s="1068" t="s">
        <v>1558</v>
      </c>
      <c r="E88" s="1139">
        <v>0.2</v>
      </c>
      <c r="F88" s="1154">
        <v>30</v>
      </c>
    </row>
    <row r="89" spans="1:6" s="1105" customFormat="1" ht="24">
      <c r="A89" s="1154">
        <v>29</v>
      </c>
      <c r="B89" s="3734"/>
      <c r="C89" s="1068" t="s">
        <v>1559</v>
      </c>
      <c r="D89" s="1068" t="s">
        <v>1560</v>
      </c>
      <c r="E89" s="1139">
        <v>0.2</v>
      </c>
      <c r="F89" s="1154">
        <v>30</v>
      </c>
    </row>
    <row r="90" spans="1:6" s="1105" customFormat="1" ht="24">
      <c r="A90" s="1154">
        <v>30</v>
      </c>
      <c r="B90" s="3734"/>
      <c r="C90" s="1068" t="s">
        <v>1561</v>
      </c>
      <c r="D90" s="1068" t="s">
        <v>1562</v>
      </c>
      <c r="E90" s="1139">
        <v>0.2</v>
      </c>
      <c r="F90" s="1154">
        <v>30</v>
      </c>
    </row>
    <row r="91" spans="1:6" s="1105" customFormat="1" ht="36">
      <c r="A91" s="1154">
        <v>31</v>
      </c>
      <c r="B91" s="3734"/>
      <c r="C91" s="1068" t="s">
        <v>1563</v>
      </c>
      <c r="D91" s="1068" t="s">
        <v>1564</v>
      </c>
      <c r="E91" s="1139">
        <v>0.2</v>
      </c>
      <c r="F91" s="1154">
        <v>30</v>
      </c>
    </row>
    <row r="92" spans="1:6" s="1105" customFormat="1" ht="24">
      <c r="A92" s="1154">
        <v>32</v>
      </c>
      <c r="B92" s="3734" t="s">
        <v>1565</v>
      </c>
      <c r="C92" s="1154" t="s">
        <v>1566</v>
      </c>
      <c r="D92" s="1068" t="s">
        <v>1567</v>
      </c>
      <c r="E92" s="1139">
        <v>0.2</v>
      </c>
      <c r="F92" s="1154">
        <v>30</v>
      </c>
    </row>
    <row r="93" spans="1:6" s="1105" customFormat="1" ht="36">
      <c r="A93" s="1154">
        <v>33</v>
      </c>
      <c r="B93" s="3734"/>
      <c r="C93" s="1154" t="s">
        <v>1568</v>
      </c>
      <c r="D93" s="1068" t="s">
        <v>1569</v>
      </c>
      <c r="E93" s="1139">
        <v>0.2</v>
      </c>
      <c r="F93" s="1154">
        <v>30</v>
      </c>
    </row>
    <row r="94" spans="1:6" s="1105" customFormat="1" ht="48">
      <c r="A94" s="1154">
        <v>34</v>
      </c>
      <c r="B94" s="3734"/>
      <c r="C94" s="1154" t="s">
        <v>1570</v>
      </c>
      <c r="D94" s="1068" t="s">
        <v>1571</v>
      </c>
      <c r="E94" s="1139">
        <v>0.2</v>
      </c>
      <c r="F94" s="1154">
        <v>30</v>
      </c>
    </row>
    <row r="95" spans="1:6" s="1105" customFormat="1" ht="36">
      <c r="A95" s="1154">
        <v>35</v>
      </c>
      <c r="B95" s="3734"/>
      <c r="C95" s="1154" t="s">
        <v>1572</v>
      </c>
      <c r="D95" s="1068" t="s">
        <v>1573</v>
      </c>
      <c r="E95" s="1139">
        <v>0.2</v>
      </c>
      <c r="F95" s="1154">
        <v>30</v>
      </c>
    </row>
    <row r="96" spans="1:6" s="1105" customFormat="1" ht="48">
      <c r="A96" s="1154">
        <v>36</v>
      </c>
      <c r="B96" s="3734"/>
      <c r="C96" s="1068" t="s">
        <v>1574</v>
      </c>
      <c r="D96" s="1068" t="s">
        <v>1575</v>
      </c>
      <c r="E96" s="1139">
        <v>0.2</v>
      </c>
      <c r="F96" s="1154">
        <v>30</v>
      </c>
    </row>
    <row r="97" spans="1:6" s="1105" customFormat="1" ht="36">
      <c r="A97" s="1154">
        <v>37</v>
      </c>
      <c r="B97" s="3734"/>
      <c r="C97" s="1154" t="s">
        <v>1576</v>
      </c>
      <c r="D97" s="1068" t="s">
        <v>1577</v>
      </c>
      <c r="E97" s="1139">
        <v>0.2</v>
      </c>
      <c r="F97" s="1154">
        <v>30</v>
      </c>
    </row>
    <row r="98" spans="1:6" s="1105" customFormat="1" ht="36">
      <c r="A98" s="1154">
        <v>38</v>
      </c>
      <c r="B98" s="3734"/>
      <c r="C98" s="1154" t="s">
        <v>1578</v>
      </c>
      <c r="D98" s="1068" t="s">
        <v>1579</v>
      </c>
      <c r="E98" s="1139">
        <v>0.2</v>
      </c>
      <c r="F98" s="1154">
        <v>30</v>
      </c>
    </row>
    <row r="99" spans="1:6" s="1105" customFormat="1" ht="36">
      <c r="A99" s="1154">
        <v>39</v>
      </c>
      <c r="B99" s="3734" t="s">
        <v>1580</v>
      </c>
      <c r="C99" s="1154" t="s">
        <v>1581</v>
      </c>
      <c r="D99" s="1068" t="s">
        <v>1582</v>
      </c>
      <c r="E99" s="1139">
        <v>0.3</v>
      </c>
      <c r="F99" s="1154">
        <v>50</v>
      </c>
    </row>
    <row r="100" spans="1:6" s="1105" customFormat="1" ht="24">
      <c r="A100" s="1154">
        <v>40</v>
      </c>
      <c r="B100" s="3734"/>
      <c r="C100" s="1154" t="s">
        <v>1583</v>
      </c>
      <c r="D100" s="1068" t="s">
        <v>1584</v>
      </c>
      <c r="E100" s="1139">
        <v>0.2</v>
      </c>
      <c r="F100" s="1154">
        <v>30</v>
      </c>
    </row>
    <row r="101" spans="1:6" s="1105" customFormat="1" ht="36">
      <c r="A101" s="1154">
        <v>41</v>
      </c>
      <c r="B101" s="3734"/>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734" t="s">
        <v>1595</v>
      </c>
      <c r="C105" s="1154" t="s">
        <v>1596</v>
      </c>
      <c r="D105" s="1068" t="s">
        <v>1597</v>
      </c>
      <c r="E105" s="1139">
        <v>0.2</v>
      </c>
      <c r="F105" s="1154">
        <v>30</v>
      </c>
    </row>
    <row r="106" spans="1:6" s="1105" customFormat="1" ht="36">
      <c r="A106" s="1154">
        <v>46</v>
      </c>
      <c r="B106" s="3734"/>
      <c r="C106" s="1154" t="s">
        <v>1598</v>
      </c>
      <c r="D106" s="1068" t="s">
        <v>1599</v>
      </c>
      <c r="E106" s="1139">
        <v>0.2</v>
      </c>
      <c r="F106" s="1154">
        <v>30</v>
      </c>
    </row>
    <row r="107" spans="1:6" s="1105" customFormat="1" ht="36">
      <c r="A107" s="1154">
        <v>47</v>
      </c>
      <c r="B107" s="3734" t="s">
        <v>1600</v>
      </c>
      <c r="C107" s="1154" t="s">
        <v>1601</v>
      </c>
      <c r="D107" s="1068" t="s">
        <v>1602</v>
      </c>
      <c r="E107" s="1139">
        <v>0.3</v>
      </c>
      <c r="F107" s="1154">
        <v>50</v>
      </c>
    </row>
    <row r="108" spans="1:6" s="1105" customFormat="1" ht="36">
      <c r="A108" s="1154">
        <v>48</v>
      </c>
      <c r="B108" s="3734"/>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734" t="s">
        <v>1611</v>
      </c>
      <c r="C111" s="1154" t="s">
        <v>1612</v>
      </c>
      <c r="D111" s="1068" t="s">
        <v>1613</v>
      </c>
      <c r="E111" s="1139">
        <v>0.2</v>
      </c>
      <c r="F111" s="1154">
        <v>30</v>
      </c>
    </row>
    <row r="112" spans="1:6" s="1105" customFormat="1" ht="24">
      <c r="A112" s="1154">
        <v>52</v>
      </c>
      <c r="B112" s="3734"/>
      <c r="C112" s="1154" t="s">
        <v>1614</v>
      </c>
      <c r="D112" s="1068" t="s">
        <v>1615</v>
      </c>
      <c r="E112" s="1139">
        <v>0.2</v>
      </c>
      <c r="F112" s="1154">
        <v>30</v>
      </c>
    </row>
    <row r="113" spans="1:14" s="1105" customFormat="1" ht="24">
      <c r="A113" s="1154">
        <v>53</v>
      </c>
      <c r="B113" s="3734"/>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734" t="s">
        <v>1624</v>
      </c>
      <c r="C116" s="1154" t="s">
        <v>1625</v>
      </c>
      <c r="D116" s="1068" t="s">
        <v>1626</v>
      </c>
      <c r="E116" s="1139">
        <v>0.2</v>
      </c>
      <c r="F116" s="1154">
        <v>30</v>
      </c>
    </row>
    <row r="117" spans="1:14" ht="36">
      <c r="A117" s="1154">
        <v>57</v>
      </c>
      <c r="B117" s="3734"/>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733" t="s">
        <v>1633</v>
      </c>
      <c r="B121" s="3733"/>
      <c r="C121" s="3733"/>
      <c r="D121" s="3733"/>
      <c r="E121" s="3733"/>
      <c r="F121" s="3733"/>
      <c r="G121" s="3733"/>
      <c r="H121" s="3733"/>
      <c r="I121" s="3733"/>
      <c r="J121" s="373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38" t="s">
        <v>1039</v>
      </c>
      <c r="B1" s="3738"/>
      <c r="C1" s="3738"/>
      <c r="D1" s="3738"/>
      <c r="E1" s="3738"/>
      <c r="F1" s="3738"/>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739" t="s">
        <v>1052</v>
      </c>
      <c r="B2" s="3739"/>
      <c r="C2" s="3739"/>
      <c r="D2" s="3739"/>
      <c r="E2" s="3739"/>
      <c r="F2" s="3739"/>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740"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741"/>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42" t="s">
        <v>2079</v>
      </c>
      <c r="B1" s="3742"/>
    </row>
    <row r="2" spans="1:6" ht="14.25" thickBot="1">
      <c r="A2" s="1853"/>
      <c r="B2" s="1853"/>
    </row>
    <row r="3" spans="1:6" ht="14.25" thickBot="1">
      <c r="A3" s="1853"/>
      <c r="B3" s="1853"/>
      <c r="C3" s="1854" t="s">
        <v>2080</v>
      </c>
      <c r="D3" s="1854" t="s">
        <v>2081</v>
      </c>
      <c r="E3" s="1854" t="s">
        <v>2082</v>
      </c>
      <c r="F3" s="1854" t="s">
        <v>2083</v>
      </c>
    </row>
    <row r="4" spans="1:6" ht="14.25" thickBot="1">
      <c r="A4" s="1855" t="s">
        <v>2084</v>
      </c>
      <c r="B4" s="1856" t="s">
        <v>2085</v>
      </c>
      <c r="C4" s="1854"/>
      <c r="D4" s="1854"/>
      <c r="E4" s="1854"/>
      <c r="F4" s="1854"/>
    </row>
    <row r="5" spans="1:6" ht="14.25" thickBot="1">
      <c r="A5" s="1857" t="s">
        <v>2086</v>
      </c>
      <c r="B5" s="1858" t="s">
        <v>2087</v>
      </c>
      <c r="C5" s="1859">
        <v>8.8999999999999996E-2</v>
      </c>
      <c r="D5" s="1859">
        <v>7.3999999999999996E-2</v>
      </c>
      <c r="E5" s="1859">
        <v>7.4999999999999997E-2</v>
      </c>
      <c r="F5" s="1860">
        <v>0.1</v>
      </c>
    </row>
    <row r="6" spans="1:6" ht="14.25" thickBot="1">
      <c r="A6" s="1857" t="s">
        <v>1096</v>
      </c>
      <c r="B6" s="1861" t="s">
        <v>2088</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2089</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2090</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2091</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2092</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2093</v>
      </c>
      <c r="C72" s="1871"/>
      <c r="D72" s="1871"/>
      <c r="E72" s="1871"/>
      <c r="F72" s="1863">
        <v>0.05</v>
      </c>
    </row>
    <row r="73" spans="1:6" ht="14.25" thickBot="1">
      <c r="A73" s="1857" t="s">
        <v>924</v>
      </c>
      <c r="B73" s="1861" t="s">
        <v>2094</v>
      </c>
      <c r="C73" s="1871"/>
      <c r="D73" s="1871"/>
      <c r="E73" s="1871"/>
      <c r="F73" s="1863">
        <v>0.05</v>
      </c>
    </row>
    <row r="74" spans="1:6" ht="14.25" thickBot="1">
      <c r="A74" s="1857" t="s">
        <v>924</v>
      </c>
      <c r="B74" s="1861" t="s">
        <v>2095</v>
      </c>
      <c r="C74" s="1871"/>
      <c r="D74" s="1871"/>
      <c r="E74" s="1871"/>
      <c r="F74" s="1863">
        <v>0.05</v>
      </c>
    </row>
    <row r="75" spans="1:6" ht="14.25" thickBot="1">
      <c r="A75" s="1865" t="s">
        <v>924</v>
      </c>
      <c r="B75" s="1872" t="s">
        <v>2096</v>
      </c>
      <c r="C75" s="1868"/>
      <c r="D75" s="1868"/>
      <c r="E75" s="1868"/>
      <c r="F75" s="1873">
        <v>0.05</v>
      </c>
    </row>
    <row r="76" spans="1:6" ht="14.25" thickBot="1">
      <c r="A76" s="1857" t="s">
        <v>1407</v>
      </c>
      <c r="B76" s="1858" t="s">
        <v>2097</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2098</v>
      </c>
      <c r="C102" s="1871"/>
      <c r="D102" s="1871"/>
      <c r="E102" s="1871"/>
      <c r="F102" s="1863">
        <v>0.05</v>
      </c>
    </row>
    <row r="103" spans="1:6" ht="24.75" thickBot="1">
      <c r="A103" s="1857" t="s">
        <v>1407</v>
      </c>
      <c r="B103" s="1861" t="s">
        <v>2099</v>
      </c>
      <c r="C103" s="1871"/>
      <c r="D103" s="1871"/>
      <c r="E103" s="1871"/>
      <c r="F103" s="1863">
        <v>0.05</v>
      </c>
    </row>
    <row r="104" spans="1:6" ht="14.25" thickBot="1">
      <c r="A104" s="1857" t="s">
        <v>1407</v>
      </c>
      <c r="B104" s="1861" t="s">
        <v>2100</v>
      </c>
      <c r="C104" s="1871"/>
      <c r="D104" s="1871"/>
      <c r="E104" s="1871"/>
      <c r="F104" s="1863">
        <v>0.05</v>
      </c>
    </row>
    <row r="105" spans="1:6" ht="14.25" thickBot="1">
      <c r="A105" s="1857" t="s">
        <v>1407</v>
      </c>
      <c r="B105" s="1861" t="s">
        <v>2101</v>
      </c>
      <c r="C105" s="1871"/>
      <c r="D105" s="1871"/>
      <c r="E105" s="1871"/>
      <c r="F105" s="1863">
        <v>0.05</v>
      </c>
    </row>
    <row r="106" spans="1:6" ht="14.25" thickBot="1">
      <c r="A106" s="1857" t="s">
        <v>1407</v>
      </c>
      <c r="B106" s="1861" t="s">
        <v>2102</v>
      </c>
      <c r="C106" s="1871"/>
      <c r="D106" s="1871"/>
      <c r="E106" s="1871"/>
      <c r="F106" s="1863">
        <v>0.05</v>
      </c>
    </row>
    <row r="107" spans="1:6" ht="24.75" thickBot="1">
      <c r="A107" s="1857" t="s">
        <v>1407</v>
      </c>
      <c r="B107" s="1861" t="s">
        <v>2103</v>
      </c>
      <c r="C107" s="1871"/>
      <c r="D107" s="1871"/>
      <c r="E107" s="1871"/>
      <c r="F107" s="1863">
        <v>0.05</v>
      </c>
    </row>
    <row r="108" spans="1:6" ht="24.75" thickBot="1">
      <c r="A108" s="1857" t="s">
        <v>1407</v>
      </c>
      <c r="B108" s="1861" t="s">
        <v>2104</v>
      </c>
      <c r="C108" s="1871"/>
      <c r="D108" s="1871"/>
      <c r="E108" s="1871"/>
      <c r="F108" s="1863">
        <v>0.05</v>
      </c>
    </row>
    <row r="109" spans="1:6" ht="24.75" thickBot="1">
      <c r="A109" s="1865" t="s">
        <v>1407</v>
      </c>
      <c r="B109" s="1872" t="s">
        <v>2105</v>
      </c>
      <c r="C109" s="1868"/>
      <c r="D109" s="1868"/>
      <c r="E109" s="1868"/>
      <c r="F109" s="1873">
        <v>0.05</v>
      </c>
    </row>
    <row r="110" spans="1:6" ht="14.25" thickBot="1">
      <c r="A110" s="1857" t="s">
        <v>1409</v>
      </c>
      <c r="B110" s="1858" t="s">
        <v>2106</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2107</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2108</v>
      </c>
      <c r="C138" s="1862">
        <v>0.105</v>
      </c>
      <c r="D138" s="1862">
        <v>0.125</v>
      </c>
      <c r="E138" s="1862">
        <v>0.112</v>
      </c>
      <c r="F138" s="1870"/>
    </row>
    <row r="139" spans="1:6" ht="14.25" thickBot="1">
      <c r="A139" s="1857" t="s">
        <v>1409</v>
      </c>
      <c r="B139" s="1861" t="s">
        <v>2109</v>
      </c>
      <c r="C139" s="1862">
        <v>0.127</v>
      </c>
      <c r="D139" s="1862">
        <v>0.127</v>
      </c>
      <c r="E139" s="1862">
        <v>0.122</v>
      </c>
      <c r="F139" s="1863">
        <v>0.13</v>
      </c>
    </row>
    <row r="140" spans="1:6" ht="14.25" thickBot="1">
      <c r="A140" s="1857" t="s">
        <v>1409</v>
      </c>
      <c r="B140" s="1861" t="s">
        <v>2110</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2111</v>
      </c>
      <c r="C144" s="1875">
        <v>0.126</v>
      </c>
      <c r="D144" s="1875">
        <v>0.126</v>
      </c>
      <c r="E144" s="1875">
        <v>0.121</v>
      </c>
      <c r="F144" s="1870"/>
    </row>
    <row r="145" spans="1:6" ht="14.25" thickBot="1">
      <c r="A145" s="1865" t="s">
        <v>1409</v>
      </c>
      <c r="B145" s="1876" t="s">
        <v>2112</v>
      </c>
      <c r="C145" s="1877"/>
      <c r="D145" s="1877"/>
      <c r="E145" s="1877"/>
      <c r="F145" s="1878">
        <v>0.05</v>
      </c>
    </row>
    <row r="146" spans="1:6" ht="24.75" thickBot="1">
      <c r="A146" s="1879" t="s">
        <v>1409</v>
      </c>
      <c r="B146" s="1864" t="s">
        <v>2113</v>
      </c>
      <c r="C146" s="1871"/>
      <c r="D146" s="1871"/>
      <c r="E146" s="1871"/>
      <c r="F146" s="1880">
        <v>0.05</v>
      </c>
    </row>
    <row r="147" spans="1:6" ht="24.75" thickBot="1">
      <c r="A147" s="1857" t="s">
        <v>1409</v>
      </c>
      <c r="B147" s="1861" t="s">
        <v>2114</v>
      </c>
      <c r="C147" s="1871"/>
      <c r="D147" s="1871"/>
      <c r="E147" s="1871"/>
      <c r="F147" s="1863">
        <v>0.05</v>
      </c>
    </row>
    <row r="148" spans="1:6" ht="24.75" thickBot="1">
      <c r="A148" s="1857" t="s">
        <v>1409</v>
      </c>
      <c r="B148" s="1861" t="s">
        <v>2115</v>
      </c>
      <c r="C148" s="1871"/>
      <c r="D148" s="1871"/>
      <c r="E148" s="1871"/>
      <c r="F148" s="1863">
        <v>0.05</v>
      </c>
    </row>
    <row r="149" spans="1:6" ht="24.75" thickBot="1">
      <c r="A149" s="1857" t="s">
        <v>1409</v>
      </c>
      <c r="B149" s="1861" t="s">
        <v>2116</v>
      </c>
      <c r="C149" s="1871"/>
      <c r="D149" s="1871"/>
      <c r="E149" s="1871"/>
      <c r="F149" s="1863">
        <v>0.05</v>
      </c>
    </row>
    <row r="150" spans="1:6" ht="24.75" thickBot="1">
      <c r="A150" s="1857" t="s">
        <v>1409</v>
      </c>
      <c r="B150" s="1861" t="s">
        <v>2117</v>
      </c>
      <c r="C150" s="1871"/>
      <c r="D150" s="1871"/>
      <c r="E150" s="1871"/>
      <c r="F150" s="1863">
        <v>0.05</v>
      </c>
    </row>
    <row r="151" spans="1:6" ht="24.75" thickBot="1">
      <c r="A151" s="1857" t="s">
        <v>1409</v>
      </c>
      <c r="B151" s="1861" t="s">
        <v>2118</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2119</v>
      </c>
      <c r="C153" s="1871"/>
      <c r="D153" s="1871"/>
      <c r="E153" s="1871"/>
      <c r="F153" s="1863">
        <v>0.05</v>
      </c>
    </row>
    <row r="154" spans="1:6" ht="14.25" thickBot="1">
      <c r="A154" s="1857" t="s">
        <v>1409</v>
      </c>
      <c r="B154" s="1861" t="s">
        <v>2120</v>
      </c>
      <c r="C154" s="1871"/>
      <c r="D154" s="1871"/>
      <c r="E154" s="1871"/>
      <c r="F154" s="1863">
        <v>0.05</v>
      </c>
    </row>
    <row r="155" spans="1:6" ht="24.75" thickBot="1">
      <c r="A155" s="1857" t="s">
        <v>1409</v>
      </c>
      <c r="B155" s="1861" t="s">
        <v>2121</v>
      </c>
      <c r="C155" s="1871"/>
      <c r="D155" s="1871"/>
      <c r="E155" s="1871"/>
      <c r="F155" s="1863">
        <v>0.05</v>
      </c>
    </row>
    <row r="156" spans="1:6" ht="24.75" thickBot="1">
      <c r="A156" s="1857" t="s">
        <v>1409</v>
      </c>
      <c r="B156" s="1861" t="s">
        <v>2122</v>
      </c>
      <c r="C156" s="1871"/>
      <c r="D156" s="1871"/>
      <c r="E156" s="1871"/>
      <c r="F156" s="1863">
        <v>0.05</v>
      </c>
    </row>
    <row r="157" spans="1:6" ht="14.25" thickBot="1">
      <c r="A157" s="1865" t="s">
        <v>1409</v>
      </c>
      <c r="B157" s="1872" t="s">
        <v>2123</v>
      </c>
      <c r="C157" s="1868"/>
      <c r="D157" s="1868"/>
      <c r="E157" s="1868"/>
      <c r="F157" s="1873">
        <v>0.05</v>
      </c>
    </row>
    <row r="158" spans="1:6" ht="14.25" thickBot="1">
      <c r="A158" s="1857" t="s">
        <v>1411</v>
      </c>
      <c r="B158" s="1858" t="s">
        <v>2124</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2125</v>
      </c>
      <c r="C171" s="1862">
        <v>0.127</v>
      </c>
      <c r="D171" s="1862">
        <v>0.126</v>
      </c>
      <c r="E171" s="1862">
        <v>0.126</v>
      </c>
      <c r="F171" s="1863">
        <v>0.11799999999999999</v>
      </c>
    </row>
    <row r="172" spans="1:6" ht="14.25" thickBot="1">
      <c r="A172" s="1857" t="s">
        <v>1411</v>
      </c>
      <c r="B172" s="1861" t="s">
        <v>2126</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2127</v>
      </c>
      <c r="C174" s="1862">
        <v>0.13</v>
      </c>
      <c r="D174" s="1862">
        <v>0.13</v>
      </c>
      <c r="E174" s="1862">
        <v>0.13</v>
      </c>
      <c r="F174" s="1863">
        <v>0.13</v>
      </c>
    </row>
    <row r="175" spans="1:6" ht="14.25" thickBot="1">
      <c r="A175" s="1857" t="s">
        <v>1411</v>
      </c>
      <c r="B175" s="1861" t="s">
        <v>2128</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2129</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2130</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2131</v>
      </c>
      <c r="C185" s="1862">
        <v>0.127</v>
      </c>
      <c r="D185" s="1862">
        <v>0.127</v>
      </c>
      <c r="E185" s="1862">
        <v>0.128</v>
      </c>
      <c r="F185" s="1863">
        <v>0.13</v>
      </c>
    </row>
    <row r="186" spans="1:6" ht="24.75" thickBot="1">
      <c r="A186" s="1857" t="s">
        <v>1411</v>
      </c>
      <c r="B186" s="1861" t="s">
        <v>2132</v>
      </c>
      <c r="C186" s="1871"/>
      <c r="D186" s="1871"/>
      <c r="E186" s="1871"/>
      <c r="F186" s="1863">
        <v>0.05</v>
      </c>
    </row>
    <row r="187" spans="1:6" ht="14.25" thickBot="1">
      <c r="A187" s="1857" t="s">
        <v>1411</v>
      </c>
      <c r="B187" s="1861" t="s">
        <v>2133</v>
      </c>
      <c r="C187" s="1871"/>
      <c r="D187" s="1871"/>
      <c r="E187" s="1871"/>
      <c r="F187" s="1863">
        <v>0.05</v>
      </c>
    </row>
    <row r="188" spans="1:6" ht="14.25" thickBot="1">
      <c r="A188" s="1857" t="s">
        <v>1411</v>
      </c>
      <c r="B188" s="1861" t="s">
        <v>2134</v>
      </c>
      <c r="C188" s="1871"/>
      <c r="D188" s="1871"/>
      <c r="E188" s="1871"/>
      <c r="F188" s="1863">
        <v>0.05</v>
      </c>
    </row>
    <row r="189" spans="1:6" ht="24.75" thickBot="1">
      <c r="A189" s="1857" t="s">
        <v>1411</v>
      </c>
      <c r="B189" s="1861" t="s">
        <v>2135</v>
      </c>
      <c r="C189" s="1871"/>
      <c r="D189" s="1871"/>
      <c r="E189" s="1871"/>
      <c r="F189" s="1863">
        <v>0.05</v>
      </c>
    </row>
    <row r="190" spans="1:6" ht="24.75" thickBot="1">
      <c r="A190" s="1857" t="s">
        <v>1411</v>
      </c>
      <c r="B190" s="1861" t="s">
        <v>2136</v>
      </c>
      <c r="C190" s="1871"/>
      <c r="D190" s="1871"/>
      <c r="E190" s="1871"/>
      <c r="F190" s="1863">
        <v>0.05</v>
      </c>
    </row>
    <row r="191" spans="1:6" ht="24.75" thickBot="1">
      <c r="A191" s="1857" t="s">
        <v>1411</v>
      </c>
      <c r="B191" s="1861" t="s">
        <v>2137</v>
      </c>
      <c r="C191" s="1871"/>
      <c r="D191" s="1871"/>
      <c r="E191" s="1871"/>
      <c r="F191" s="1863">
        <v>0.05</v>
      </c>
    </row>
    <row r="192" spans="1:6" ht="24.75" thickBot="1">
      <c r="A192" s="1857" t="s">
        <v>1411</v>
      </c>
      <c r="B192" s="1861" t="s">
        <v>2138</v>
      </c>
      <c r="C192" s="1871"/>
      <c r="D192" s="1871"/>
      <c r="E192" s="1871"/>
      <c r="F192" s="1863">
        <v>0.05</v>
      </c>
    </row>
    <row r="193" spans="1:6" ht="24.75" thickBot="1">
      <c r="A193" s="1857" t="s">
        <v>1411</v>
      </c>
      <c r="B193" s="1861" t="s">
        <v>2139</v>
      </c>
      <c r="C193" s="1871"/>
      <c r="D193" s="1871"/>
      <c r="E193" s="1871"/>
      <c r="F193" s="1863">
        <v>0.05</v>
      </c>
    </row>
    <row r="194" spans="1:6" ht="24.75" thickBot="1">
      <c r="A194" s="1857" t="s">
        <v>1411</v>
      </c>
      <c r="B194" s="1861" t="s">
        <v>2140</v>
      </c>
      <c r="C194" s="1871"/>
      <c r="D194" s="1871"/>
      <c r="E194" s="1871"/>
      <c r="F194" s="1863">
        <v>0.05</v>
      </c>
    </row>
    <row r="195" spans="1:6" ht="14.25" thickBot="1">
      <c r="A195" s="1857" t="s">
        <v>1411</v>
      </c>
      <c r="B195" s="1861" t="s">
        <v>2141</v>
      </c>
      <c r="C195" s="1871"/>
      <c r="D195" s="1871"/>
      <c r="E195" s="1871"/>
      <c r="F195" s="1863">
        <v>0.05</v>
      </c>
    </row>
    <row r="196" spans="1:6" ht="24.75" thickBot="1">
      <c r="A196" s="1857" t="s">
        <v>1411</v>
      </c>
      <c r="B196" s="1861" t="s">
        <v>2142</v>
      </c>
      <c r="C196" s="1871"/>
      <c r="D196" s="1871"/>
      <c r="E196" s="1871"/>
      <c r="F196" s="1863">
        <v>0.05</v>
      </c>
    </row>
    <row r="197" spans="1:6" ht="24.75" thickBot="1">
      <c r="A197" s="1857" t="s">
        <v>1411</v>
      </c>
      <c r="B197" s="1861" t="s">
        <v>2143</v>
      </c>
      <c r="C197" s="1871"/>
      <c r="D197" s="1871"/>
      <c r="E197" s="1871"/>
      <c r="F197" s="1863">
        <v>0.05</v>
      </c>
    </row>
    <row r="198" spans="1:6" ht="24.75" thickBot="1">
      <c r="A198" s="1857" t="s">
        <v>1411</v>
      </c>
      <c r="B198" s="1861" t="s">
        <v>2144</v>
      </c>
      <c r="C198" s="1871"/>
      <c r="D198" s="1871"/>
      <c r="E198" s="1871"/>
      <c r="F198" s="1863">
        <v>0.05</v>
      </c>
    </row>
    <row r="199" spans="1:6" ht="24.75" thickBot="1">
      <c r="A199" s="1857" t="s">
        <v>1411</v>
      </c>
      <c r="B199" s="1861" t="s">
        <v>2145</v>
      </c>
      <c r="C199" s="1871"/>
      <c r="D199" s="1871"/>
      <c r="E199" s="1871"/>
      <c r="F199" s="1863">
        <v>0.05</v>
      </c>
    </row>
    <row r="200" spans="1:6" ht="24.75" thickBot="1">
      <c r="A200" s="1857" t="s">
        <v>1411</v>
      </c>
      <c r="B200" s="1861" t="s">
        <v>2146</v>
      </c>
      <c r="C200" s="1871"/>
      <c r="D200" s="1871"/>
      <c r="E200" s="1871"/>
      <c r="F200" s="1863">
        <v>0.05</v>
      </c>
    </row>
    <row r="201" spans="1:6" ht="24.75" thickBot="1">
      <c r="A201" s="1857" t="s">
        <v>1411</v>
      </c>
      <c r="B201" s="1861" t="s">
        <v>2147</v>
      </c>
      <c r="C201" s="1871"/>
      <c r="D201" s="1871"/>
      <c r="E201" s="1871"/>
      <c r="F201" s="1863">
        <v>0.05</v>
      </c>
    </row>
    <row r="202" spans="1:6" ht="24.75" thickBot="1">
      <c r="A202" s="1857" t="s">
        <v>1411</v>
      </c>
      <c r="B202" s="1861" t="s">
        <v>2148</v>
      </c>
      <c r="C202" s="1871"/>
      <c r="D202" s="1871"/>
      <c r="E202" s="1871"/>
      <c r="F202" s="1863">
        <v>0.05</v>
      </c>
    </row>
    <row r="203" spans="1:6" ht="24.75" thickBot="1">
      <c r="A203" s="1857" t="s">
        <v>1411</v>
      </c>
      <c r="B203" s="1861" t="s">
        <v>2149</v>
      </c>
      <c r="C203" s="1871"/>
      <c r="D203" s="1871"/>
      <c r="E203" s="1871"/>
      <c r="F203" s="1863">
        <v>0.05</v>
      </c>
    </row>
    <row r="204" spans="1:6" ht="14.25" thickBot="1">
      <c r="A204" s="1857" t="s">
        <v>1411</v>
      </c>
      <c r="B204" s="1861" t="s">
        <v>2150</v>
      </c>
      <c r="C204" s="1871"/>
      <c r="D204" s="1871"/>
      <c r="E204" s="1871"/>
      <c r="F204" s="1863">
        <v>0.05</v>
      </c>
    </row>
    <row r="205" spans="1:6" ht="14.25" thickBot="1">
      <c r="A205" s="1865" t="s">
        <v>1411</v>
      </c>
      <c r="B205" s="1872" t="s">
        <v>2151</v>
      </c>
      <c r="C205" s="1868"/>
      <c r="D205" s="1868"/>
      <c r="E205" s="1868"/>
      <c r="F205" s="1873">
        <v>0.05</v>
      </c>
    </row>
    <row r="206" spans="1:6" ht="14.25" thickBot="1">
      <c r="A206" s="1857" t="s">
        <v>1413</v>
      </c>
      <c r="B206" s="1858" t="s">
        <v>2152</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2153</v>
      </c>
      <c r="C210" s="1862">
        <v>0.15</v>
      </c>
      <c r="D210" s="1862">
        <v>0.15</v>
      </c>
      <c r="E210" s="1862">
        <v>0.15</v>
      </c>
      <c r="F210" s="1863">
        <v>0.13800000000000001</v>
      </c>
    </row>
    <row r="211" spans="1:6" ht="14.25" thickBot="1">
      <c r="A211" s="1857" t="s">
        <v>1413</v>
      </c>
      <c r="B211" s="1861" t="s">
        <v>2154</v>
      </c>
      <c r="C211" s="1862">
        <v>0.13700000000000001</v>
      </c>
      <c r="D211" s="1862">
        <v>0.13500000000000001</v>
      </c>
      <c r="E211" s="1862">
        <v>0.13600000000000001</v>
      </c>
      <c r="F211" s="1863">
        <v>0.1</v>
      </c>
    </row>
    <row r="212" spans="1:6" ht="14.25" thickBot="1">
      <c r="A212" s="1857" t="s">
        <v>1413</v>
      </c>
      <c r="B212" s="1861" t="s">
        <v>2155</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2156</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2157</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2158</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2159</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2160</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2161</v>
      </c>
      <c r="C231" s="1862">
        <v>0.128</v>
      </c>
      <c r="D231" s="1862">
        <v>0.125</v>
      </c>
      <c r="E231" s="1862">
        <v>0.13200000000000001</v>
      </c>
      <c r="F231" s="1870"/>
    </row>
    <row r="232" spans="1:6" ht="14.25" thickBot="1">
      <c r="A232" s="1857" t="s">
        <v>1413</v>
      </c>
      <c r="B232" s="1861" t="s">
        <v>2162</v>
      </c>
      <c r="C232" s="1862">
        <v>0.14499999999999999</v>
      </c>
      <c r="D232" s="1862">
        <v>0.14399999999999999</v>
      </c>
      <c r="E232" s="1862">
        <v>0.14599999999999999</v>
      </c>
      <c r="F232" s="1863">
        <v>0.13800000000000001</v>
      </c>
    </row>
    <row r="233" spans="1:6" ht="14.25" thickBot="1">
      <c r="A233" s="1857" t="s">
        <v>1413</v>
      </c>
      <c r="B233" s="1861" t="s">
        <v>2163</v>
      </c>
      <c r="C233" s="1862">
        <v>0.14499999999999999</v>
      </c>
      <c r="D233" s="1862">
        <v>0.14299999999999999</v>
      </c>
      <c r="E233" s="1862">
        <v>0.14199999999999999</v>
      </c>
      <c r="F233" s="1870"/>
    </row>
    <row r="234" spans="1:6" ht="14.25" thickBot="1">
      <c r="A234" s="1857" t="s">
        <v>1413</v>
      </c>
      <c r="B234" s="1861" t="s">
        <v>2164</v>
      </c>
      <c r="C234" s="1862">
        <v>0.14000000000000001</v>
      </c>
      <c r="D234" s="1862">
        <v>0.14000000000000001</v>
      </c>
      <c r="E234" s="1862">
        <v>0.14399999999999999</v>
      </c>
      <c r="F234" s="1870"/>
    </row>
    <row r="235" spans="1:6" ht="14.25" thickBot="1">
      <c r="A235" s="1857" t="s">
        <v>1413</v>
      </c>
      <c r="B235" s="1861" t="s">
        <v>2165</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2166</v>
      </c>
      <c r="C237" s="1871"/>
      <c r="D237" s="1871"/>
      <c r="E237" s="1871"/>
      <c r="F237" s="1863">
        <v>0.05</v>
      </c>
    </row>
    <row r="238" spans="1:6" ht="24.75" thickBot="1">
      <c r="A238" s="1857" t="s">
        <v>1413</v>
      </c>
      <c r="B238" s="1861" t="s">
        <v>2167</v>
      </c>
      <c r="C238" s="1871"/>
      <c r="D238" s="1871"/>
      <c r="E238" s="1871"/>
      <c r="F238" s="1863">
        <v>0.05</v>
      </c>
    </row>
    <row r="239" spans="1:6" ht="24.75" thickBot="1">
      <c r="A239" s="1857" t="s">
        <v>1413</v>
      </c>
      <c r="B239" s="1861" t="s">
        <v>2168</v>
      </c>
      <c r="C239" s="1871"/>
      <c r="D239" s="1871"/>
      <c r="E239" s="1871"/>
      <c r="F239" s="1863">
        <v>0.05</v>
      </c>
    </row>
    <row r="240" spans="1:6" ht="24.75" thickBot="1">
      <c r="A240" s="1857" t="s">
        <v>1413</v>
      </c>
      <c r="B240" s="1861" t="s">
        <v>2169</v>
      </c>
      <c r="C240" s="1871"/>
      <c r="D240" s="1871"/>
      <c r="E240" s="1871"/>
      <c r="F240" s="1863">
        <v>0.05</v>
      </c>
    </row>
    <row r="241" spans="1:6" ht="24.75" thickBot="1">
      <c r="A241" s="1857" t="s">
        <v>1413</v>
      </c>
      <c r="B241" s="1861" t="s">
        <v>2170</v>
      </c>
      <c r="C241" s="1871"/>
      <c r="D241" s="1871"/>
      <c r="E241" s="1871"/>
      <c r="F241" s="1863">
        <v>0.05</v>
      </c>
    </row>
    <row r="242" spans="1:6" ht="24.75" thickBot="1">
      <c r="A242" s="1857" t="s">
        <v>1413</v>
      </c>
      <c r="B242" s="1861" t="s">
        <v>2171</v>
      </c>
      <c r="C242" s="1871"/>
      <c r="D242" s="1871"/>
      <c r="E242" s="1871"/>
      <c r="F242" s="1863">
        <v>0.05</v>
      </c>
    </row>
    <row r="243" spans="1:6" ht="24.75" thickBot="1">
      <c r="A243" s="1857" t="s">
        <v>1413</v>
      </c>
      <c r="B243" s="1861" t="s">
        <v>2172</v>
      </c>
      <c r="C243" s="1871"/>
      <c r="D243" s="1871"/>
      <c r="E243" s="1871"/>
      <c r="F243" s="1863">
        <v>0.05</v>
      </c>
    </row>
    <row r="244" spans="1:6" ht="24.75" thickBot="1">
      <c r="A244" s="1865" t="s">
        <v>1413</v>
      </c>
      <c r="B244" s="1872" t="s">
        <v>2173</v>
      </c>
      <c r="C244" s="1868"/>
      <c r="D244" s="1868"/>
      <c r="E244" s="1868"/>
      <c r="F244" s="1873">
        <v>0.05</v>
      </c>
    </row>
    <row r="245" spans="1:6" ht="14.25" thickBot="1">
      <c r="A245" s="1857" t="s">
        <v>1415</v>
      </c>
      <c r="B245" s="1858" t="s">
        <v>2174</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2175</v>
      </c>
      <c r="C247" s="1862">
        <v>0.15</v>
      </c>
      <c r="D247" s="1862">
        <v>0.15</v>
      </c>
      <c r="E247" s="1862">
        <v>0.15</v>
      </c>
      <c r="F247" s="1863">
        <v>0.15</v>
      </c>
    </row>
    <row r="248" spans="1:6" ht="14.25" thickBot="1">
      <c r="A248" s="1857" t="s">
        <v>1415</v>
      </c>
      <c r="B248" s="1861" t="s">
        <v>2176</v>
      </c>
      <c r="C248" s="1862">
        <v>0.15</v>
      </c>
      <c r="D248" s="1862">
        <v>0.15</v>
      </c>
      <c r="E248" s="1862">
        <v>0.15</v>
      </c>
      <c r="F248" s="1863">
        <v>0.14000000000000001</v>
      </c>
    </row>
    <row r="249" spans="1:6" ht="14.25" thickBot="1">
      <c r="A249" s="1857" t="s">
        <v>1415</v>
      </c>
      <c r="B249" s="1861" t="s">
        <v>2177</v>
      </c>
      <c r="C249" s="1862">
        <v>0.15</v>
      </c>
      <c r="D249" s="1862">
        <v>0.14899999999999999</v>
      </c>
      <c r="E249" s="1862">
        <v>0.15</v>
      </c>
      <c r="F249" s="1863">
        <v>0.1</v>
      </c>
    </row>
    <row r="250" spans="1:6" ht="14.25" thickBot="1">
      <c r="A250" s="1857" t="s">
        <v>1415</v>
      </c>
      <c r="B250" s="1861" t="s">
        <v>2178</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2179</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2180</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2181</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2182</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2183</v>
      </c>
      <c r="C273" s="1862">
        <v>0.14199999999999999</v>
      </c>
      <c r="D273" s="1862">
        <v>0.14299999999999999</v>
      </c>
      <c r="E273" s="1862">
        <v>0.15</v>
      </c>
      <c r="F273" s="1863">
        <v>0.1</v>
      </c>
    </row>
    <row r="274" spans="1:6" ht="14.25" thickBot="1">
      <c r="A274" s="1857" t="s">
        <v>1415</v>
      </c>
      <c r="B274" s="1861" t="s">
        <v>2184</v>
      </c>
      <c r="C274" s="1862">
        <v>0.14799999999999999</v>
      </c>
      <c r="D274" s="1862">
        <v>0.14799999999999999</v>
      </c>
      <c r="E274" s="1862">
        <v>0.15</v>
      </c>
      <c r="F274" s="1863">
        <v>6.7000000000000004E-2</v>
      </c>
    </row>
    <row r="275" spans="1:6" ht="14.25" thickBot="1">
      <c r="A275" s="1857" t="s">
        <v>1415</v>
      </c>
      <c r="B275" s="1861" t="s">
        <v>2185</v>
      </c>
      <c r="C275" s="1862">
        <v>0.15</v>
      </c>
      <c r="D275" s="1862">
        <v>0.15</v>
      </c>
      <c r="E275" s="1862">
        <v>0.15</v>
      </c>
      <c r="F275" s="1863">
        <v>0.15</v>
      </c>
    </row>
    <row r="276" spans="1:6" ht="14.25" thickBot="1">
      <c r="A276" s="1857" t="s">
        <v>1415</v>
      </c>
      <c r="B276" s="1861" t="s">
        <v>2186</v>
      </c>
      <c r="C276" s="1862">
        <v>0.14499999999999999</v>
      </c>
      <c r="D276" s="1862">
        <v>0.14299999999999999</v>
      </c>
      <c r="E276" s="1862">
        <v>0.15</v>
      </c>
      <c r="F276" s="1863">
        <v>5.8999999999999997E-2</v>
      </c>
    </row>
    <row r="277" spans="1:6" ht="14.25" thickBot="1">
      <c r="A277" s="1857" t="s">
        <v>1415</v>
      </c>
      <c r="B277" s="1861" t="s">
        <v>2187</v>
      </c>
      <c r="C277" s="1862">
        <v>0.15</v>
      </c>
      <c r="D277" s="1862">
        <v>0.15</v>
      </c>
      <c r="E277" s="1862">
        <v>0.15</v>
      </c>
      <c r="F277" s="1863">
        <v>0.121</v>
      </c>
    </row>
    <row r="278" spans="1:6" ht="14.25" thickBot="1">
      <c r="A278" s="1857" t="s">
        <v>1415</v>
      </c>
      <c r="B278" s="1861" t="s">
        <v>2188</v>
      </c>
      <c r="C278" s="1862">
        <v>0.15</v>
      </c>
      <c r="D278" s="1862">
        <v>0.15</v>
      </c>
      <c r="E278" s="1862">
        <v>0.15</v>
      </c>
      <c r="F278" s="1863">
        <v>0.13800000000000001</v>
      </c>
    </row>
    <row r="279" spans="1:6" ht="24.75" thickBot="1">
      <c r="A279" s="1857" t="s">
        <v>1415</v>
      </c>
      <c r="B279" s="1861" t="s">
        <v>2189</v>
      </c>
      <c r="C279" s="1871"/>
      <c r="D279" s="1871"/>
      <c r="E279" s="1871"/>
      <c r="F279" s="1863">
        <v>0.05</v>
      </c>
    </row>
    <row r="280" spans="1:6" ht="24.75" thickBot="1">
      <c r="A280" s="1857" t="s">
        <v>1415</v>
      </c>
      <c r="B280" s="1861" t="s">
        <v>2190</v>
      </c>
      <c r="C280" s="1871"/>
      <c r="D280" s="1871"/>
      <c r="E280" s="1871"/>
      <c r="F280" s="1863">
        <v>0.05</v>
      </c>
    </row>
    <row r="281" spans="1:6" ht="24.75" thickBot="1">
      <c r="A281" s="1857" t="s">
        <v>1415</v>
      </c>
      <c r="B281" s="1861" t="s">
        <v>2191</v>
      </c>
      <c r="C281" s="1871"/>
      <c r="D281" s="1871"/>
      <c r="E281" s="1871"/>
      <c r="F281" s="1863">
        <v>0.05</v>
      </c>
    </row>
    <row r="282" spans="1:6" ht="24.75" thickBot="1">
      <c r="A282" s="1857" t="s">
        <v>1415</v>
      </c>
      <c r="B282" s="1861" t="s">
        <v>2192</v>
      </c>
      <c r="C282" s="1871"/>
      <c r="D282" s="1871"/>
      <c r="E282" s="1871"/>
      <c r="F282" s="1863">
        <v>0.05</v>
      </c>
    </row>
    <row r="283" spans="1:6" ht="24.75" thickBot="1">
      <c r="A283" s="1857" t="s">
        <v>1415</v>
      </c>
      <c r="B283" s="1861" t="s">
        <v>2193</v>
      </c>
      <c r="C283" s="1871"/>
      <c r="D283" s="1871"/>
      <c r="E283" s="1871"/>
      <c r="F283" s="1863">
        <v>0.05</v>
      </c>
    </row>
    <row r="284" spans="1:6" ht="24.75" thickBot="1">
      <c r="A284" s="1857" t="s">
        <v>1415</v>
      </c>
      <c r="B284" s="1861" t="s">
        <v>2194</v>
      </c>
      <c r="C284" s="1871"/>
      <c r="D284" s="1871"/>
      <c r="E284" s="1871"/>
      <c r="F284" s="1863">
        <v>0.05</v>
      </c>
    </row>
    <row r="285" spans="1:6" ht="24.75" thickBot="1">
      <c r="A285" s="1857" t="s">
        <v>1415</v>
      </c>
      <c r="B285" s="1861" t="s">
        <v>2195</v>
      </c>
      <c r="C285" s="1871"/>
      <c r="D285" s="1871"/>
      <c r="E285" s="1871"/>
      <c r="F285" s="1863">
        <v>0.05</v>
      </c>
    </row>
    <row r="286" spans="1:6" ht="24.75" thickBot="1">
      <c r="A286" s="1857" t="s">
        <v>1415</v>
      </c>
      <c r="B286" s="1861" t="s">
        <v>2196</v>
      </c>
      <c r="C286" s="1871"/>
      <c r="D286" s="1871"/>
      <c r="E286" s="1871"/>
      <c r="F286" s="1863">
        <v>0.05</v>
      </c>
    </row>
    <row r="287" spans="1:6" ht="24.75" thickBot="1">
      <c r="A287" s="1857" t="s">
        <v>1415</v>
      </c>
      <c r="B287" s="1861" t="s">
        <v>2197</v>
      </c>
      <c r="C287" s="1871"/>
      <c r="D287" s="1871"/>
      <c r="E287" s="1871"/>
      <c r="F287" s="1863">
        <v>0.05</v>
      </c>
    </row>
    <row r="288" spans="1:6" ht="24.75" thickBot="1">
      <c r="A288" s="1857" t="s">
        <v>1415</v>
      </c>
      <c r="B288" s="1861" t="s">
        <v>2198</v>
      </c>
      <c r="C288" s="1871"/>
      <c r="D288" s="1871"/>
      <c r="E288" s="1871"/>
      <c r="F288" s="1863">
        <v>0.05</v>
      </c>
    </row>
    <row r="289" spans="1:6" ht="24.75" thickBot="1">
      <c r="A289" s="1865" t="s">
        <v>1415</v>
      </c>
      <c r="B289" s="1872" t="s">
        <v>2199</v>
      </c>
      <c r="C289" s="1868"/>
      <c r="D289" s="1868"/>
      <c r="E289" s="1868"/>
      <c r="F289" s="1873">
        <v>0.05</v>
      </c>
    </row>
    <row r="290" spans="1:6" ht="14.25" thickBot="1">
      <c r="A290" s="1857" t="s">
        <v>1419</v>
      </c>
      <c r="B290" s="1858" t="s">
        <v>2200</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2201</v>
      </c>
      <c r="C292" s="1862">
        <v>0.15</v>
      </c>
      <c r="D292" s="1862">
        <v>0.15</v>
      </c>
      <c r="E292" s="1862">
        <v>0.15</v>
      </c>
      <c r="F292" s="1863">
        <v>0.14699999999999999</v>
      </c>
    </row>
    <row r="293" spans="1:6" ht="14.25" thickBot="1">
      <c r="A293" s="1857" t="s">
        <v>1419</v>
      </c>
      <c r="B293" s="1861" t="s">
        <v>2202</v>
      </c>
      <c r="C293" s="1871"/>
      <c r="D293" s="1871"/>
      <c r="E293" s="1871"/>
      <c r="F293" s="1863">
        <v>0.1</v>
      </c>
    </row>
    <row r="294" spans="1:6" ht="14.25" thickBot="1">
      <c r="A294" s="1857" t="s">
        <v>1419</v>
      </c>
      <c r="B294" s="1861" t="s">
        <v>2203</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2204</v>
      </c>
      <c r="C296" s="1862">
        <v>0.15</v>
      </c>
      <c r="D296" s="1862">
        <v>0.15</v>
      </c>
      <c r="E296" s="1862">
        <v>0.15</v>
      </c>
      <c r="F296" s="1863">
        <v>0.15</v>
      </c>
    </row>
    <row r="297" spans="1:6" ht="14.25" thickBot="1">
      <c r="A297" s="1857" t="s">
        <v>1419</v>
      </c>
      <c r="B297" s="1861" t="s">
        <v>2205</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2206</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2207</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2208</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2209</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2210</v>
      </c>
      <c r="C310" s="1862">
        <v>0.15</v>
      </c>
      <c r="D310" s="1862">
        <v>0.15</v>
      </c>
      <c r="E310" s="1862">
        <v>0.15</v>
      </c>
      <c r="F310" s="1863">
        <v>0.13700000000000001</v>
      </c>
    </row>
    <row r="311" spans="1:6" ht="14.25" thickBot="1">
      <c r="A311" s="1857" t="s">
        <v>1419</v>
      </c>
      <c r="B311" s="1861" t="s">
        <v>2211</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2212</v>
      </c>
      <c r="C313" s="1862">
        <v>0.15</v>
      </c>
      <c r="D313" s="1862">
        <v>0.15</v>
      </c>
      <c r="E313" s="1862">
        <v>0.15</v>
      </c>
      <c r="F313" s="1863">
        <v>0.15</v>
      </c>
    </row>
    <row r="314" spans="1:6" ht="24.75" thickBot="1">
      <c r="A314" s="1857" t="s">
        <v>1419</v>
      </c>
      <c r="B314" s="1861" t="s">
        <v>2213</v>
      </c>
      <c r="C314" s="1871"/>
      <c r="D314" s="1871"/>
      <c r="E314" s="1871"/>
      <c r="F314" s="1863">
        <v>0.05</v>
      </c>
    </row>
    <row r="315" spans="1:6" ht="24.75" thickBot="1">
      <c r="A315" s="1857" t="s">
        <v>1419</v>
      </c>
      <c r="B315" s="1861" t="s">
        <v>2214</v>
      </c>
      <c r="C315" s="1871"/>
      <c r="D315" s="1871"/>
      <c r="E315" s="1871"/>
      <c r="F315" s="1863">
        <v>0.05</v>
      </c>
    </row>
    <row r="316" spans="1:6" ht="24.75" thickBot="1">
      <c r="A316" s="1865" t="s">
        <v>1419</v>
      </c>
      <c r="B316" s="1872" t="s">
        <v>2215</v>
      </c>
      <c r="C316" s="1868"/>
      <c r="D316" s="1868"/>
      <c r="E316" s="1868"/>
      <c r="F316" s="1873">
        <v>0.05</v>
      </c>
    </row>
    <row r="317" spans="1:6" ht="14.25" thickBot="1">
      <c r="A317" s="1857" t="s">
        <v>2216</v>
      </c>
      <c r="B317" s="1858" t="s">
        <v>2217</v>
      </c>
      <c r="C317" s="1859">
        <v>0.15</v>
      </c>
      <c r="D317" s="1859">
        <v>0.15</v>
      </c>
      <c r="E317" s="1859">
        <v>0.15</v>
      </c>
      <c r="F317" s="1860">
        <v>0.15</v>
      </c>
    </row>
    <row r="318" spans="1:6" ht="14.25" thickBot="1">
      <c r="A318" s="1857" t="s">
        <v>2216</v>
      </c>
      <c r="B318" s="1861" t="s">
        <v>2218</v>
      </c>
      <c r="C318" s="1862">
        <v>0.107</v>
      </c>
      <c r="D318" s="1862">
        <v>0.11</v>
      </c>
      <c r="E318" s="1862">
        <v>0.112</v>
      </c>
      <c r="F318" s="1870"/>
    </row>
    <row r="319" spans="1:6" ht="14.25" thickBot="1">
      <c r="A319" s="1857" t="s">
        <v>2216</v>
      </c>
      <c r="B319" s="1861" t="s">
        <v>2219</v>
      </c>
      <c r="C319" s="1862">
        <v>0.15</v>
      </c>
      <c r="D319" s="1862">
        <v>0.15</v>
      </c>
      <c r="E319" s="1862">
        <v>0.15</v>
      </c>
      <c r="F319" s="1863">
        <v>0.15</v>
      </c>
    </row>
    <row r="320" spans="1:6" ht="14.25" thickBot="1">
      <c r="A320" s="1857" t="s">
        <v>2216</v>
      </c>
      <c r="B320" s="1861" t="s">
        <v>1107</v>
      </c>
      <c r="C320" s="1862">
        <v>0.15</v>
      </c>
      <c r="D320" s="1862">
        <v>0.15</v>
      </c>
      <c r="E320" s="1862">
        <v>0.15</v>
      </c>
      <c r="F320" s="1870"/>
    </row>
    <row r="321" spans="1:6" ht="14.25" thickBot="1">
      <c r="A321" s="1857" t="s">
        <v>2216</v>
      </c>
      <c r="B321" s="1861" t="s">
        <v>2220</v>
      </c>
      <c r="C321" s="1862">
        <v>0.15</v>
      </c>
      <c r="D321" s="1862">
        <v>0.15</v>
      </c>
      <c r="E321" s="1862">
        <v>0.15</v>
      </c>
      <c r="F321" s="1870"/>
    </row>
    <row r="322" spans="1:6" ht="14.25" thickBot="1">
      <c r="A322" s="1857" t="s">
        <v>2216</v>
      </c>
      <c r="B322" s="1861" t="s">
        <v>2221</v>
      </c>
      <c r="C322" s="1862">
        <v>0.15</v>
      </c>
      <c r="D322" s="1862">
        <v>0.15</v>
      </c>
      <c r="E322" s="1862">
        <v>0.15</v>
      </c>
      <c r="F322" s="1863">
        <v>0.15</v>
      </c>
    </row>
    <row r="323" spans="1:6" ht="14.25" thickBot="1">
      <c r="A323" s="1857" t="s">
        <v>2216</v>
      </c>
      <c r="B323" s="1861" t="s">
        <v>2222</v>
      </c>
      <c r="C323" s="1862">
        <v>0.15</v>
      </c>
      <c r="D323" s="1862">
        <v>0.15</v>
      </c>
      <c r="E323" s="1862">
        <v>0.15</v>
      </c>
      <c r="F323" s="1870"/>
    </row>
    <row r="324" spans="1:6" ht="14.25" thickBot="1">
      <c r="A324" s="1857" t="s">
        <v>2216</v>
      </c>
      <c r="B324" s="1861" t="s">
        <v>2223</v>
      </c>
      <c r="C324" s="1862">
        <v>0.15</v>
      </c>
      <c r="D324" s="1862">
        <v>0.15</v>
      </c>
      <c r="E324" s="1862">
        <v>0.15</v>
      </c>
      <c r="F324" s="1870"/>
    </row>
    <row r="325" spans="1:6" ht="14.25" thickBot="1">
      <c r="A325" s="1857" t="s">
        <v>2216</v>
      </c>
      <c r="B325" s="1861" t="s">
        <v>2224</v>
      </c>
      <c r="C325" s="1862">
        <v>0.15</v>
      </c>
      <c r="D325" s="1862">
        <v>0.15</v>
      </c>
      <c r="E325" s="1862">
        <v>0.15</v>
      </c>
      <c r="F325" s="1863">
        <v>0.14699999999999999</v>
      </c>
    </row>
    <row r="326" spans="1:6" ht="14.25" thickBot="1">
      <c r="A326" s="1857" t="s">
        <v>2216</v>
      </c>
      <c r="B326" s="1861" t="s">
        <v>1176</v>
      </c>
      <c r="C326" s="1862">
        <v>0.15</v>
      </c>
      <c r="D326" s="1862">
        <v>0.15</v>
      </c>
      <c r="E326" s="1862">
        <v>0.15</v>
      </c>
      <c r="F326" s="1870"/>
    </row>
    <row r="327" spans="1:6" ht="14.25" thickBot="1">
      <c r="A327" s="1857" t="s">
        <v>2216</v>
      </c>
      <c r="B327" s="1861" t="s">
        <v>2225</v>
      </c>
      <c r="C327" s="1862">
        <v>0.15</v>
      </c>
      <c r="D327" s="1862">
        <v>0.15</v>
      </c>
      <c r="E327" s="1862">
        <v>0.15</v>
      </c>
      <c r="F327" s="1863">
        <v>0.15</v>
      </c>
    </row>
    <row r="328" spans="1:6" ht="14.25" thickBot="1">
      <c r="A328" s="1857" t="s">
        <v>2216</v>
      </c>
      <c r="B328" s="1861" t="s">
        <v>1196</v>
      </c>
      <c r="C328" s="1862">
        <v>0.15</v>
      </c>
      <c r="D328" s="1862">
        <v>0.15</v>
      </c>
      <c r="E328" s="1862">
        <v>0.15</v>
      </c>
      <c r="F328" s="1863">
        <v>0.14099999999999999</v>
      </c>
    </row>
    <row r="329" spans="1:6" ht="14.25" thickBot="1">
      <c r="A329" s="1857" t="s">
        <v>2216</v>
      </c>
      <c r="B329" s="1861" t="s">
        <v>1206</v>
      </c>
      <c r="C329" s="1862">
        <v>0.15</v>
      </c>
      <c r="D329" s="1862">
        <v>0.15</v>
      </c>
      <c r="E329" s="1862">
        <v>0.15</v>
      </c>
      <c r="F329" s="1863">
        <v>0.15</v>
      </c>
    </row>
    <row r="330" spans="1:6" ht="14.25" thickBot="1">
      <c r="A330" s="1857" t="s">
        <v>2216</v>
      </c>
      <c r="B330" s="1861" t="s">
        <v>1216</v>
      </c>
      <c r="C330" s="1862">
        <v>0.15</v>
      </c>
      <c r="D330" s="1862">
        <v>0.15</v>
      </c>
      <c r="E330" s="1862">
        <v>0.15</v>
      </c>
      <c r="F330" s="1870"/>
    </row>
    <row r="331" spans="1:6" ht="14.25" thickBot="1">
      <c r="A331" s="1857" t="s">
        <v>2216</v>
      </c>
      <c r="B331" s="1861" t="s">
        <v>2226</v>
      </c>
      <c r="C331" s="1862">
        <v>0.15</v>
      </c>
      <c r="D331" s="1862">
        <v>0.15</v>
      </c>
      <c r="E331" s="1862">
        <v>0.15</v>
      </c>
      <c r="F331" s="1863">
        <v>0.15</v>
      </c>
    </row>
    <row r="332" spans="1:6" ht="14.25" thickBot="1">
      <c r="A332" s="1857" t="s">
        <v>2216</v>
      </c>
      <c r="B332" s="1861" t="s">
        <v>1236</v>
      </c>
      <c r="C332" s="1862">
        <v>0.15</v>
      </c>
      <c r="D332" s="1862">
        <v>0.15</v>
      </c>
      <c r="E332" s="1862">
        <v>0.15</v>
      </c>
      <c r="F332" s="1863">
        <v>0.15</v>
      </c>
    </row>
    <row r="333" spans="1:6" ht="14.25" thickBot="1">
      <c r="A333" s="1857" t="s">
        <v>2216</v>
      </c>
      <c r="B333" s="1861" t="s">
        <v>2227</v>
      </c>
      <c r="C333" s="1862">
        <v>0.15</v>
      </c>
      <c r="D333" s="1862">
        <v>0.15</v>
      </c>
      <c r="E333" s="1862">
        <v>0.15</v>
      </c>
      <c r="F333" s="1863">
        <v>0.14099999999999999</v>
      </c>
    </row>
    <row r="334" spans="1:6" ht="14.25" thickBot="1">
      <c r="A334" s="1857" t="s">
        <v>2216</v>
      </c>
      <c r="B334" s="1861" t="s">
        <v>1256</v>
      </c>
      <c r="C334" s="1862">
        <v>0.15</v>
      </c>
      <c r="D334" s="1862">
        <v>0.15</v>
      </c>
      <c r="E334" s="1862">
        <v>0.15</v>
      </c>
      <c r="F334" s="1863">
        <v>0.15</v>
      </c>
    </row>
    <row r="335" spans="1:6" ht="14.25" thickBot="1">
      <c r="A335" s="1857" t="s">
        <v>2216</v>
      </c>
      <c r="B335" s="1861" t="s">
        <v>1266</v>
      </c>
      <c r="C335" s="1862">
        <v>0.15</v>
      </c>
      <c r="D335" s="1862">
        <v>0.15</v>
      </c>
      <c r="E335" s="1862">
        <v>0.15</v>
      </c>
      <c r="F335" s="1870"/>
    </row>
    <row r="336" spans="1:6" ht="14.25" thickBot="1">
      <c r="A336" s="1857" t="s">
        <v>2216</v>
      </c>
      <c r="B336" s="1861" t="s">
        <v>2228</v>
      </c>
      <c r="C336" s="1862">
        <v>0.15</v>
      </c>
      <c r="D336" s="1862">
        <v>0.15</v>
      </c>
      <c r="E336" s="1862">
        <v>0.15</v>
      </c>
      <c r="F336" s="1863">
        <v>0.11799999999999999</v>
      </c>
    </row>
    <row r="337" spans="1:6" ht="14.25" thickBot="1">
      <c r="A337" s="1865" t="s">
        <v>2216</v>
      </c>
      <c r="B337" s="1872" t="s">
        <v>1284</v>
      </c>
      <c r="C337" s="1868"/>
      <c r="D337" s="1868"/>
      <c r="E337" s="1868"/>
      <c r="F337" s="1873">
        <v>0.14299999999999999</v>
      </c>
    </row>
    <row r="338" spans="1:6" ht="14.25" thickBot="1">
      <c r="A338" s="1857" t="s">
        <v>2229</v>
      </c>
      <c r="B338" s="1858" t="s">
        <v>2230</v>
      </c>
      <c r="C338" s="1859">
        <v>0.15</v>
      </c>
      <c r="D338" s="1859">
        <v>0.15</v>
      </c>
      <c r="E338" s="1859">
        <v>0.15</v>
      </c>
      <c r="F338" s="1881"/>
    </row>
    <row r="339" spans="1:6" ht="14.25" thickBot="1">
      <c r="A339" s="1857" t="s">
        <v>2229</v>
      </c>
      <c r="B339" s="1861" t="s">
        <v>2231</v>
      </c>
      <c r="C339" s="1862">
        <v>0.15</v>
      </c>
      <c r="D339" s="1862">
        <v>0.15</v>
      </c>
      <c r="E339" s="1862">
        <v>0.15</v>
      </c>
      <c r="F339" s="1870"/>
    </row>
    <row r="340" spans="1:6" ht="14.25" thickBot="1">
      <c r="A340" s="1857" t="s">
        <v>2229</v>
      </c>
      <c r="B340" s="1861" t="s">
        <v>2232</v>
      </c>
      <c r="C340" s="1862">
        <v>0.15</v>
      </c>
      <c r="D340" s="1862">
        <v>0.15</v>
      </c>
      <c r="E340" s="1862">
        <v>0.15</v>
      </c>
      <c r="F340" s="1870"/>
    </row>
    <row r="341" spans="1:6" ht="14.25" thickBot="1">
      <c r="A341" s="1857" t="s">
        <v>2233</v>
      </c>
      <c r="B341" s="1861" t="s">
        <v>2234</v>
      </c>
      <c r="C341" s="1862">
        <v>0.15</v>
      </c>
      <c r="D341" s="1862">
        <v>0.15</v>
      </c>
      <c r="E341" s="1862">
        <v>0.15</v>
      </c>
      <c r="F341" s="1863">
        <v>0.15</v>
      </c>
    </row>
    <row r="342" spans="1:6" ht="14.25" thickBot="1">
      <c r="A342" s="1857" t="s">
        <v>2229</v>
      </c>
      <c r="B342" s="1861" t="s">
        <v>2235</v>
      </c>
      <c r="C342" s="1862">
        <v>0.15</v>
      </c>
      <c r="D342" s="1862">
        <v>0.15</v>
      </c>
      <c r="E342" s="1862">
        <v>0.15</v>
      </c>
      <c r="F342" s="1863">
        <v>0.15</v>
      </c>
    </row>
    <row r="343" spans="1:6" ht="14.25" thickBot="1">
      <c r="A343" s="1857" t="s">
        <v>2229</v>
      </c>
      <c r="B343" s="1861" t="s">
        <v>2236</v>
      </c>
      <c r="C343" s="1862">
        <v>0.15</v>
      </c>
      <c r="D343" s="1862">
        <v>0.15</v>
      </c>
      <c r="E343" s="1862">
        <v>0.15</v>
      </c>
      <c r="F343" s="1863">
        <v>0.15</v>
      </c>
    </row>
    <row r="344" spans="1:6" ht="14.25" thickBot="1">
      <c r="A344" s="1865" t="s">
        <v>2229</v>
      </c>
      <c r="B344" s="1872" t="s">
        <v>2237</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7" sqref="F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2953</v>
      </c>
      <c r="B1" s="3137"/>
      <c r="C1" s="3137"/>
      <c r="D1" s="3137"/>
      <c r="E1" s="3137"/>
      <c r="F1" s="3137"/>
    </row>
    <row r="2" spans="1:6" ht="14.25">
      <c r="A2" s="3138" t="s">
        <v>2947</v>
      </c>
      <c r="B2" s="3139" t="e">
        <f ca="1">SUMIF(B7:B14,"&lt;&gt;#ref!",B7:B14)</f>
        <v>#DIV/0!</v>
      </c>
      <c r="C2" s="3138" t="s">
        <v>2948</v>
      </c>
      <c r="D2" s="3137"/>
      <c r="E2" s="3137"/>
      <c r="F2" s="3137"/>
    </row>
    <row r="3" spans="1:6" ht="14.25">
      <c r="A3" s="3138" t="s">
        <v>2950</v>
      </c>
      <c r="B3" s="3139" t="e">
        <f ca="1">ROUND(B2*10000/E3,0)</f>
        <v>#DIV/0!</v>
      </c>
      <c r="C3" s="3138" t="s">
        <v>2078</v>
      </c>
      <c r="D3" s="3138" t="s">
        <v>2949</v>
      </c>
      <c r="E3" s="3139" t="e">
        <f ca="1">SUM(E7:E14)</f>
        <v>#REF!</v>
      </c>
      <c r="F3" s="3137"/>
    </row>
    <row r="4" spans="1:6" ht="14.25">
      <c r="A4" s="3138" t="s">
        <v>2957</v>
      </c>
      <c r="B4" s="3139" t="e">
        <f ca="1">ROUND(B2*10000/E4,0)</f>
        <v>#DIV/0!</v>
      </c>
      <c r="C4" s="3138" t="s">
        <v>2078</v>
      </c>
      <c r="D4" s="3138" t="s">
        <v>2958</v>
      </c>
      <c r="E4" s="3139" t="e">
        <f ca="1">SUM(F7:F14)</f>
        <v>#REF!</v>
      </c>
      <c r="F4" s="3137"/>
    </row>
    <row r="5" spans="1:6" ht="14.25">
      <c r="A5" s="3140"/>
      <c r="B5" s="1883"/>
      <c r="C5" s="1883"/>
      <c r="D5" s="1883"/>
      <c r="E5" s="1883"/>
      <c r="F5" s="3137"/>
    </row>
    <row r="6" spans="1:6" ht="28.5">
      <c r="A6" s="3141" t="s">
        <v>2954</v>
      </c>
      <c r="B6" s="3138" t="s">
        <v>2951</v>
      </c>
      <c r="C6" s="3139"/>
      <c r="D6" s="1883"/>
      <c r="E6" s="3138" t="s">
        <v>2952</v>
      </c>
      <c r="F6" s="3138" t="s">
        <v>2956</v>
      </c>
    </row>
    <row r="7" spans="1:6" ht="14.25">
      <c r="A7" s="260" t="s">
        <v>2955</v>
      </c>
      <c r="B7" s="3142" t="e">
        <f ca="1">SUMIF(INDIRECT("'"&amp;A7&amp;"'"&amp;"!A:A"),"总价",INDIRECT("'"&amp;A7&amp;"'"&amp;"!B:B"))</f>
        <v>#DIV/0!</v>
      </c>
      <c r="C7" s="3138" t="s">
        <v>2948</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2948</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2948</v>
      </c>
      <c r="D9" s="1883"/>
      <c r="E9" s="3143" t="e">
        <f t="shared" ca="1" si="1"/>
        <v>#REF!</v>
      </c>
      <c r="F9" s="3143" t="e">
        <f t="shared" ca="1" si="2"/>
        <v>#REF!</v>
      </c>
    </row>
    <row r="10" spans="1:6" ht="14.25">
      <c r="A10" s="260"/>
      <c r="B10" s="3142" t="e">
        <f t="shared" ca="1" si="0"/>
        <v>#REF!</v>
      </c>
      <c r="C10" s="3138" t="s">
        <v>2948</v>
      </c>
      <c r="D10" s="1883"/>
      <c r="E10" s="3143" t="e">
        <f t="shared" ca="1" si="1"/>
        <v>#REF!</v>
      </c>
      <c r="F10" s="3143" t="e">
        <f t="shared" ca="1" si="2"/>
        <v>#REF!</v>
      </c>
    </row>
    <row r="11" spans="1:6" ht="14.25">
      <c r="A11" s="260"/>
      <c r="B11" s="3142" t="e">
        <f t="shared" ca="1" si="0"/>
        <v>#REF!</v>
      </c>
      <c r="C11" s="3138" t="s">
        <v>2948</v>
      </c>
      <c r="D11" s="1883"/>
      <c r="E11" s="3143" t="e">
        <f t="shared" ca="1" si="1"/>
        <v>#REF!</v>
      </c>
      <c r="F11" s="3143" t="e">
        <f t="shared" ca="1" si="2"/>
        <v>#REF!</v>
      </c>
    </row>
    <row r="12" spans="1:6" ht="14.25">
      <c r="A12" s="260"/>
      <c r="B12" s="3142" t="e">
        <f t="shared" ca="1" si="0"/>
        <v>#REF!</v>
      </c>
      <c r="C12" s="3138" t="s">
        <v>2948</v>
      </c>
      <c r="D12" s="1883"/>
      <c r="E12" s="3143" t="e">
        <f t="shared" ca="1" si="1"/>
        <v>#REF!</v>
      </c>
      <c r="F12" s="3143" t="e">
        <f t="shared" ca="1" si="2"/>
        <v>#REF!</v>
      </c>
    </row>
    <row r="13" spans="1:6" ht="14.25">
      <c r="A13" s="260"/>
      <c r="B13" s="3142" t="e">
        <f t="shared" ca="1" si="0"/>
        <v>#REF!</v>
      </c>
      <c r="C13" s="3138" t="s">
        <v>2948</v>
      </c>
      <c r="D13" s="1883"/>
      <c r="E13" s="3143" t="e">
        <f t="shared" ca="1" si="1"/>
        <v>#REF!</v>
      </c>
      <c r="F13" s="3143" t="e">
        <f t="shared" ca="1" si="2"/>
        <v>#REF!</v>
      </c>
    </row>
    <row r="14" spans="1:6" ht="14.25">
      <c r="A14" s="3136"/>
      <c r="B14" s="3142" t="e">
        <f t="shared" ca="1" si="0"/>
        <v>#REF!</v>
      </c>
      <c r="C14" s="3138" t="s">
        <v>2948</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503" t="str">
        <f>项目基本情况!B1</f>
        <v>北京市朝阳区京顺路来广营东路（雍景桃源一期）出让国有建设用地使用权抵押价格预评估</v>
      </c>
      <c r="C37" s="3503"/>
      <c r="D37" s="3503"/>
      <c r="E37" s="3503"/>
      <c r="F37" s="3503"/>
      <c r="G37" s="3503"/>
      <c r="H37" s="3503"/>
      <c r="I37" s="3503"/>
    </row>
    <row r="38" spans="1:9">
      <c r="A38" s="1657"/>
      <c r="B38" s="1657"/>
    </row>
    <row r="39" spans="1:9">
      <c r="A39" s="1655" t="s">
        <v>1901</v>
      </c>
      <c r="B39" s="1655" t="s">
        <v>2046</v>
      </c>
    </row>
    <row r="40" spans="1:9">
      <c r="A40" s="1655"/>
      <c r="B40" s="1655">
        <f>项目基本情况!B5</f>
        <v>0</v>
      </c>
    </row>
    <row r="41" spans="1:9">
      <c r="A41" s="1655"/>
      <c r="B41" s="1655"/>
    </row>
    <row r="42" spans="1:9">
      <c r="A42" s="1655" t="s">
        <v>1901</v>
      </c>
      <c r="B42" s="1655" t="s">
        <v>2047</v>
      </c>
    </row>
    <row r="43" spans="1:9">
      <c r="A43" s="1655"/>
      <c r="B43" s="1655" t="s">
        <v>1903</v>
      </c>
    </row>
    <row r="44" spans="1:9">
      <c r="A44" s="1655"/>
      <c r="B44" s="1655"/>
    </row>
    <row r="45" spans="1:9">
      <c r="A45" s="1655" t="s">
        <v>1901</v>
      </c>
      <c r="B45" s="1655" t="s">
        <v>2045</v>
      </c>
    </row>
    <row r="46" spans="1:9" s="1655" customFormat="1" ht="12.75">
      <c r="B46" s="1655" t="str">
        <f>项目基本情况!K4</f>
        <v>欧红伟、梁津</v>
      </c>
    </row>
    <row r="47" spans="1:9">
      <c r="A47" s="1655"/>
      <c r="B47" s="1655"/>
    </row>
    <row r="48" spans="1:9">
      <c r="A48" s="1655" t="s">
        <v>1901</v>
      </c>
      <c r="B48" s="1655" t="s">
        <v>2048</v>
      </c>
    </row>
    <row r="49" spans="2:2">
      <c r="B49" s="1655" t="str">
        <f>"康正预评字"&amp;项目基本情况!B2&amp;"号"</f>
        <v>康正预评字2018-1-0152-P01DYGJ1号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c r="D1" s="2052"/>
      <c r="E1" s="2413" t="s">
        <v>2374</v>
      </c>
      <c r="F1" s="2414">
        <f ca="1">J54</f>
        <v>0</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2459</v>
      </c>
      <c r="C7" s="53">
        <f ca="1">C8+C12+C14</f>
        <v>0</v>
      </c>
      <c r="D7" s="2522" t="s">
        <v>2462</v>
      </c>
      <c r="E7" s="2516"/>
      <c r="F7" s="2517"/>
      <c r="G7" s="1593"/>
      <c r="H7" s="781">
        <v>1</v>
      </c>
      <c r="I7" s="782" t="s">
        <v>2459</v>
      </c>
      <c r="J7" s="53">
        <f ca="1">J8+J12+J14</f>
        <v>0</v>
      </c>
      <c r="K7" s="2522" t="s">
        <v>2462</v>
      </c>
      <c r="L7" s="2516"/>
      <c r="M7" s="2517"/>
    </row>
    <row r="8" spans="1:25" ht="18" customHeight="1">
      <c r="A8" s="1832" t="s">
        <v>1824</v>
      </c>
      <c r="B8" s="3744" t="s">
        <v>2464</v>
      </c>
      <c r="C8" s="1827">
        <f ca="1">ROUND(F8*F10*F9*(1-F11)/10000,0)</f>
        <v>0</v>
      </c>
      <c r="D8" s="1824" t="s">
        <v>2536</v>
      </c>
      <c r="E8" s="61" t="s">
        <v>636</v>
      </c>
      <c r="F8" s="785">
        <f ca="1">INDIRECT("'数据-取费表'!u"&amp;$G$1)</f>
        <v>0</v>
      </c>
      <c r="G8" s="1593"/>
      <c r="H8" s="2530" t="s">
        <v>1824</v>
      </c>
      <c r="I8" s="3744" t="s">
        <v>2464</v>
      </c>
      <c r="J8" s="783">
        <f ca="1">ROUND(M8*M10*M9*(1-M11)/10000,0)</f>
        <v>0</v>
      </c>
      <c r="K8" s="341" t="s">
        <v>2536</v>
      </c>
      <c r="L8" s="784" t="s">
        <v>1738</v>
      </c>
      <c r="M8" s="785">
        <f ca="1">INDIRECT("'数据-取费表'!z"&amp;$G$1)</f>
        <v>0</v>
      </c>
    </row>
    <row r="9" spans="1:25" ht="18" customHeight="1">
      <c r="A9" s="2526"/>
      <c r="B9" s="3745"/>
      <c r="C9" s="1828"/>
      <c r="D9" s="1825"/>
      <c r="E9" s="61" t="s">
        <v>637</v>
      </c>
      <c r="F9" s="785">
        <f ca="1">IF(INDIRECT("'数据-取费表'!ah"&amp;$G$1)="",INDIRECT("'数据-取费表'!k"&amp;$G$1),INDIRECT("'数据-取费表'!ah"&amp;$G$1))</f>
        <v>0</v>
      </c>
      <c r="G9" s="1593"/>
      <c r="H9" s="2515"/>
      <c r="I9" s="3745"/>
      <c r="J9" s="788"/>
      <c r="K9" s="789"/>
      <c r="L9" s="784" t="s">
        <v>1739</v>
      </c>
      <c r="M9" s="785">
        <f ca="1">F9</f>
        <v>0</v>
      </c>
    </row>
    <row r="10" spans="1:25" ht="18" customHeight="1">
      <c r="A10" s="2519"/>
      <c r="B10" s="3746"/>
      <c r="C10" s="1828"/>
      <c r="D10" s="1825"/>
      <c r="E10" s="61" t="s">
        <v>638</v>
      </c>
      <c r="F10" s="785">
        <f ca="1">INDIRECT("'数据-取费表'!ai"&amp;$G$1)</f>
        <v>0</v>
      </c>
      <c r="G10" s="1593"/>
      <c r="H10" s="2515"/>
      <c r="I10" s="3746"/>
      <c r="J10" s="788"/>
      <c r="K10" s="789"/>
      <c r="L10" s="784" t="s">
        <v>1740</v>
      </c>
      <c r="M10" s="785">
        <f ca="1">INDIRECT("'数据-取费表'!ai"&amp;$G$1)</f>
        <v>0</v>
      </c>
    </row>
    <row r="11" spans="1:25" ht="18" customHeight="1">
      <c r="A11" s="786"/>
      <c r="B11" s="3747"/>
      <c r="C11" s="1828"/>
      <c r="D11" s="1825"/>
      <c r="E11" s="61" t="s">
        <v>639</v>
      </c>
      <c r="F11" s="794">
        <f ca="1">INDIRECT("'数据-取费表'!w"&amp;$G$1)</f>
        <v>0</v>
      </c>
      <c r="G11" s="1593"/>
      <c r="H11" s="2531"/>
      <c r="I11" s="3746"/>
      <c r="J11" s="788"/>
      <c r="K11" s="789"/>
      <c r="L11" s="795" t="s">
        <v>1741</v>
      </c>
      <c r="M11" s="796">
        <f ca="1">INDIRECT("'数据-取费表'!ab"&amp;$G$1)</f>
        <v>0</v>
      </c>
    </row>
    <row r="12" spans="1:25" ht="18" customHeight="1">
      <c r="A12" s="1832" t="s">
        <v>1825</v>
      </c>
      <c r="B12" s="2520" t="s">
        <v>2460</v>
      </c>
      <c r="C12" s="799">
        <f ca="1">ROUND(IF(F12="押一",F8*F10*F9/12*F13,IF(F12="押二",F8*F10*F9/12*2*F13,IF(F12="押三",F8*F10*F9/12*3*F13,C13*F13)))/10000,0)</f>
        <v>0</v>
      </c>
      <c r="D12" s="2527" t="s">
        <v>2467</v>
      </c>
      <c r="E12" s="2524" t="s">
        <v>2465</v>
      </c>
      <c r="F12" s="2647"/>
      <c r="G12" s="1593"/>
      <c r="H12" s="2587" t="s">
        <v>1825</v>
      </c>
      <c r="I12" s="2592" t="s">
        <v>2460</v>
      </c>
      <c r="J12" s="783">
        <f ca="1">ROUND(IF(M12="押一",M8*M10*M9/12*M13,IF(M12="押二",M8*M10*M9/12*2*M13,IF(M12="押三",M8*M10*M9/12*3*M13,J13*M13)))/10000,0)</f>
        <v>0</v>
      </c>
      <c r="K12" s="2527" t="s">
        <v>2467</v>
      </c>
      <c r="L12" s="2524" t="s">
        <v>2465</v>
      </c>
      <c r="M12" s="2647"/>
    </row>
    <row r="13" spans="1:25" ht="18" customHeight="1">
      <c r="A13" s="790"/>
      <c r="B13" s="2521" t="s">
        <v>2575</v>
      </c>
      <c r="C13" s="2525"/>
      <c r="D13" s="789"/>
      <c r="E13" s="2524" t="s">
        <v>2457</v>
      </c>
      <c r="F13" s="796">
        <f ca="1">'数据-取费表'!B39</f>
        <v>1.4999999999999999E-2</v>
      </c>
      <c r="G13" s="1593"/>
      <c r="H13" s="2588"/>
      <c r="I13" s="2521" t="s">
        <v>2575</v>
      </c>
      <c r="J13" s="2525"/>
      <c r="K13" s="2589"/>
      <c r="L13" s="2524" t="s">
        <v>2457</v>
      </c>
      <c r="M13" s="2518">
        <f ca="1">'数据-取费表'!B39</f>
        <v>1.4999999999999999E-2</v>
      </c>
    </row>
    <row r="14" spans="1:25" ht="18" customHeight="1" thickBot="1">
      <c r="A14" s="2563" t="s">
        <v>2469</v>
      </c>
      <c r="B14" s="2564" t="s">
        <v>2461</v>
      </c>
      <c r="C14" s="2565"/>
      <c r="D14" s="2566"/>
      <c r="E14" s="2567"/>
      <c r="F14" s="2568"/>
      <c r="G14" s="1593"/>
      <c r="H14" s="2577" t="s">
        <v>2469</v>
      </c>
      <c r="I14" s="2590" t="s">
        <v>2461</v>
      </c>
      <c r="J14" s="2591"/>
      <c r="K14" s="2566"/>
      <c r="L14" s="2567"/>
      <c r="M14" s="2580"/>
    </row>
    <row r="15" spans="1:25" ht="18" customHeight="1" thickTop="1">
      <c r="A15" s="1831" t="s">
        <v>1874</v>
      </c>
      <c r="B15" s="1829" t="s">
        <v>640</v>
      </c>
      <c r="C15" s="792">
        <f ca="1">ROUND(C31*F15,0)</f>
        <v>0</v>
      </c>
      <c r="D15" s="1836" t="s">
        <v>641</v>
      </c>
      <c r="E15" s="795" t="s">
        <v>642</v>
      </c>
      <c r="F15" s="800">
        <f ca="1">INDIRECT("'数据-取费表'!y"&amp;$G$1)</f>
        <v>0</v>
      </c>
      <c r="G15" s="1593"/>
      <c r="H15" s="1831" t="s">
        <v>1826</v>
      </c>
      <c r="I15" s="1829" t="s">
        <v>643</v>
      </c>
      <c r="J15" s="1821">
        <f ca="1">ROUND(J16*J17,0)</f>
        <v>0</v>
      </c>
      <c r="K15" s="1823" t="s">
        <v>641</v>
      </c>
      <c r="L15" s="801"/>
      <c r="M15" s="802"/>
    </row>
    <row r="16" spans="1:25" ht="18" customHeight="1">
      <c r="A16" s="803" t="s">
        <v>1875</v>
      </c>
      <c r="B16" s="784" t="s">
        <v>644</v>
      </c>
      <c r="C16" s="804">
        <f ca="1">INDIRECT("'数据-取费表'!m"&amp;$G$1)+INDIRECT("'数据-取费表'!t"&amp;$G$1)</f>
        <v>0</v>
      </c>
      <c r="D16" s="1981" t="s">
        <v>645</v>
      </c>
      <c r="E16" s="1982"/>
      <c r="F16" s="805"/>
      <c r="G16" s="1593"/>
      <c r="H16" s="803" t="s">
        <v>2069</v>
      </c>
      <c r="I16" s="2233" t="s">
        <v>2827</v>
      </c>
      <c r="J16" s="53">
        <f ca="1">C31</f>
        <v>0</v>
      </c>
      <c r="K16" s="26"/>
      <c r="L16" s="801"/>
      <c r="M16" s="802"/>
    </row>
    <row r="17" spans="1:25" s="2066" customFormat="1" ht="18" customHeight="1">
      <c r="A17" s="803" t="s">
        <v>1849</v>
      </c>
      <c r="B17" s="784" t="s">
        <v>646</v>
      </c>
      <c r="C17" s="53">
        <f ca="1">ROUND(C16*F17,0)</f>
        <v>0</v>
      </c>
      <c r="D17" s="806" t="s">
        <v>647</v>
      </c>
      <c r="E17" s="806" t="s">
        <v>648</v>
      </c>
      <c r="F17" s="807">
        <f>'数据-取费表'!B33</f>
        <v>0.03</v>
      </c>
      <c r="G17" s="1594"/>
      <c r="H17" s="803" t="s">
        <v>2070</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4"/>
      <c r="M18" s="56"/>
    </row>
    <row r="19" spans="1:25" s="2066"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2069</v>
      </c>
      <c r="I19" s="784" t="s">
        <v>655</v>
      </c>
      <c r="J19" s="53">
        <f ca="1">ROUND(IF(项目基本情况!B11="自然人",J7*M19,J20+J21+J22),0)</f>
        <v>0</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9" t="s">
        <v>660</v>
      </c>
      <c r="L20" s="784" t="s">
        <v>648</v>
      </c>
      <c r="M20" s="809">
        <f>'数据-取费表'!B41</f>
        <v>5.6000000000000001E-2</v>
      </c>
      <c r="N20" s="2065"/>
      <c r="O20" s="2065"/>
      <c r="P20" s="2065"/>
      <c r="Q20" s="2065"/>
      <c r="R20" s="2065"/>
      <c r="S20" s="2065"/>
      <c r="T20" s="2065"/>
      <c r="U20" s="2065"/>
      <c r="V20" s="2065"/>
      <c r="W20" s="2065"/>
      <c r="X20" s="2065"/>
      <c r="Y20" s="2065"/>
    </row>
    <row r="21" spans="1:25" ht="18" customHeight="1">
      <c r="A21" s="803" t="s">
        <v>1876</v>
      </c>
      <c r="B21" s="784" t="s">
        <v>661</v>
      </c>
      <c r="C21" s="53">
        <f ca="1">SUM(C16:C20)</f>
        <v>0</v>
      </c>
      <c r="D21" s="261" t="s">
        <v>662</v>
      </c>
      <c r="E21" s="1984"/>
      <c r="F21" s="56"/>
      <c r="G21" s="1593"/>
      <c r="H21" s="1832" t="s">
        <v>1849</v>
      </c>
      <c r="I21" s="784" t="s">
        <v>663</v>
      </c>
      <c r="J21" s="53">
        <f ca="1">IF(K21="按租金收入计税",ROUND(J7*M21,1),ROUND(C31*F35*0.7,1))</f>
        <v>0</v>
      </c>
      <c r="K21" s="811" t="s">
        <v>664</v>
      </c>
      <c r="L21" s="784" t="s">
        <v>648</v>
      </c>
      <c r="M21" s="809">
        <f>IF(K21="按租金收入计税",'数据-取费表'!B51,'数据-取费表'!B50)</f>
        <v>1.2E-2</v>
      </c>
    </row>
    <row r="22" spans="1:25" s="2066" customFormat="1" ht="18" customHeight="1">
      <c r="A22" s="803" t="s">
        <v>1877</v>
      </c>
      <c r="B22" s="784" t="s">
        <v>665</v>
      </c>
      <c r="C22" s="53">
        <f ca="1">ROUND(C21*F22,0)</f>
        <v>0</v>
      </c>
      <c r="D22" s="812" t="s">
        <v>666</v>
      </c>
      <c r="E22" s="784" t="s">
        <v>648</v>
      </c>
      <c r="F22" s="809">
        <f>'数据-取费表'!B37</f>
        <v>0.02</v>
      </c>
      <c r="G22" s="1594"/>
      <c r="H22" s="1834" t="s">
        <v>1850</v>
      </c>
      <c r="I22" s="1824" t="s">
        <v>667</v>
      </c>
      <c r="J22" s="54">
        <f ca="1">ROUND(M22*M23/10000,0)</f>
        <v>0</v>
      </c>
      <c r="K22" s="814" t="s">
        <v>668</v>
      </c>
      <c r="L22" s="784" t="s">
        <v>669</v>
      </c>
      <c r="M22" s="640">
        <f>'数据-取费表'!B52</f>
        <v>18</v>
      </c>
      <c r="N22" s="2065"/>
      <c r="O22" s="2065"/>
      <c r="P22" s="2065"/>
      <c r="Q22" s="2065"/>
      <c r="R22" s="2065"/>
      <c r="S22" s="2065"/>
      <c r="T22" s="2065"/>
      <c r="U22" s="2065"/>
      <c r="V22" s="2065"/>
      <c r="W22" s="2065"/>
      <c r="X22" s="2065"/>
      <c r="Y22" s="2065"/>
    </row>
    <row r="23" spans="1:25" s="2066" customFormat="1" ht="18" customHeight="1">
      <c r="A23" s="803" t="s">
        <v>1878</v>
      </c>
      <c r="B23" s="784" t="s">
        <v>670</v>
      </c>
      <c r="C23" s="53" t="s">
        <v>1</v>
      </c>
      <c r="D23" s="812" t="s">
        <v>671</v>
      </c>
      <c r="E23" s="784" t="s">
        <v>672</v>
      </c>
      <c r="F23" s="809">
        <f>'数据-取费表'!B38</f>
        <v>0.02</v>
      </c>
      <c r="G23" s="1594"/>
      <c r="H23" s="1835"/>
      <c r="I23" s="1826"/>
      <c r="J23" s="69"/>
      <c r="K23" s="816"/>
      <c r="L23" s="784" t="s">
        <v>673</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674</v>
      </c>
      <c r="C24" s="53"/>
      <c r="D24" s="2598" t="str">
        <f>IF(F25&lt;=1,"单利计息。","复利计息。")&amp;"建造成本、管理费用、销售费用产生的利息。"</f>
        <v>复利计息。建造成本、管理费用、销售费用产生的利息。</v>
      </c>
      <c r="E24" s="1984"/>
      <c r="F24" s="56"/>
      <c r="G24" s="1593"/>
      <c r="H24" s="1833" t="s">
        <v>2070</v>
      </c>
      <c r="I24" s="784" t="s">
        <v>675</v>
      </c>
      <c r="J24" s="53">
        <f ca="1">ROUND(J16*M24,0)</f>
        <v>0</v>
      </c>
      <c r="K24" s="1979" t="s">
        <v>676</v>
      </c>
      <c r="L24" s="784" t="s">
        <v>648</v>
      </c>
      <c r="M24" s="817">
        <f ca="1">INDIRECT("'数据-取费表'!Ak"&amp;$G$1)</f>
        <v>0</v>
      </c>
    </row>
    <row r="25" spans="1:25" s="2066" customFormat="1" ht="18" customHeight="1">
      <c r="A25" s="803" t="s">
        <v>1875</v>
      </c>
      <c r="B25" s="784" t="s">
        <v>2437</v>
      </c>
      <c r="C25" s="53">
        <f ca="1">ROUND(IF('数据-取费表'!B22&lt;=1,(C21+C22)*F26*F25/2,(C21+C22)*(POWER((1+F26),F25/2)-1)),0)</f>
        <v>0</v>
      </c>
      <c r="D25" s="2597" t="str">
        <f>IF(F25&lt;=1,"(建造成本+管理费用)×利率×(建设周期÷2)","(建造成本+管理费用)×((1+利率)^(建设周期÷2)-1)")</f>
        <v>(建造成本+管理费用)×((1+利率)^(建设周期÷2)-1)</v>
      </c>
      <c r="E25" s="784" t="s">
        <v>677</v>
      </c>
      <c r="F25" s="640">
        <f>'数据-取费表'!B20</f>
        <v>2</v>
      </c>
      <c r="G25" s="1594"/>
      <c r="H25" s="803" t="s">
        <v>1878</v>
      </c>
      <c r="I25" s="784" t="s">
        <v>678</v>
      </c>
      <c r="J25" s="53">
        <f ca="1">ROUND(J15*M25,0)</f>
        <v>0</v>
      </c>
      <c r="K25" s="1979" t="s">
        <v>679</v>
      </c>
      <c r="L25" s="784" t="s">
        <v>648</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680</v>
      </c>
      <c r="C26" s="53">
        <f ca="1">ROUND(IF('数据-取费表'!B22&lt;=1,F23*F26*F25/2,F23*(POWER((1+F26),F25/2)-1)),4)</f>
        <v>1E-3</v>
      </c>
      <c r="D26" s="2597"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9" t="s">
        <v>682</v>
      </c>
      <c r="L26" s="784" t="s">
        <v>648</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683</v>
      </c>
      <c r="C27" s="53"/>
      <c r="D27" s="261" t="s">
        <v>684</v>
      </c>
      <c r="E27" s="1984"/>
      <c r="F27" s="56"/>
      <c r="G27" s="1593"/>
      <c r="H27" s="797" t="s">
        <v>1828</v>
      </c>
      <c r="I27" s="3038" t="s">
        <v>2824</v>
      </c>
      <c r="J27" s="799">
        <f ca="1">J7-J18</f>
        <v>0</v>
      </c>
      <c r="K27" s="1981" t="s">
        <v>699</v>
      </c>
      <c r="L27" s="1983"/>
      <c r="M27" s="820"/>
    </row>
    <row r="28" spans="1:25" ht="18" customHeight="1">
      <c r="A28" s="803" t="s">
        <v>1875</v>
      </c>
      <c r="B28" s="784" t="s">
        <v>2438</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1882</v>
      </c>
      <c r="B30" s="784" t="s">
        <v>686</v>
      </c>
      <c r="C30" s="53">
        <f>ROUND(F30/(1+'数据-取费表'!C42),4)</f>
        <v>5.33E-2</v>
      </c>
      <c r="D30" s="812" t="s">
        <v>708</v>
      </c>
      <c r="E30" s="784" t="s">
        <v>648</v>
      </c>
      <c r="F30" s="809">
        <f>'数据-取费表'!B41</f>
        <v>5.6000000000000001E-2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1883</v>
      </c>
      <c r="B31" s="2567" t="s">
        <v>2825</v>
      </c>
      <c r="C31" s="2570">
        <f ca="1">ROUND((C21+C22+C25+C28)/(1-F23-C26-C29-C30),0)</f>
        <v>0</v>
      </c>
      <c r="D31" s="2571"/>
      <c r="E31" s="2572"/>
      <c r="F31" s="2573"/>
      <c r="G31" s="1594"/>
      <c r="H31" s="823" t="s">
        <v>1872</v>
      </c>
      <c r="I31" s="3039" t="s">
        <v>2826</v>
      </c>
      <c r="J31" s="825">
        <f ca="1">ROUND(J28/(1+F45)^F46,0)</f>
        <v>0</v>
      </c>
      <c r="K31" s="826" t="s">
        <v>687</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0</v>
      </c>
      <c r="D32" s="1823" t="s">
        <v>651</v>
      </c>
      <c r="E32" s="2513"/>
      <c r="F32" s="2517"/>
      <c r="G32" s="2064"/>
      <c r="H32" s="2067"/>
      <c r="I32" s="2068"/>
      <c r="J32" s="2069"/>
      <c r="K32" s="2070"/>
      <c r="L32" s="2071"/>
      <c r="M32" s="2072"/>
    </row>
    <row r="33" spans="1:18" ht="18" customHeight="1">
      <c r="A33" s="803" t="s">
        <v>1876</v>
      </c>
      <c r="B33" s="784" t="s">
        <v>655</v>
      </c>
      <c r="C33" s="53">
        <f ca="1">ROUND(IF(项目基本情况!B11="自然人",C7*F33,C34+C35+C36),1)</f>
        <v>0</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659</v>
      </c>
      <c r="C34" s="53">
        <f ca="1">ROUND(C7*F34/1.05,1)</f>
        <v>0</v>
      </c>
      <c r="D34" s="1979" t="s">
        <v>660</v>
      </c>
      <c r="E34" s="784" t="s">
        <v>648</v>
      </c>
      <c r="F34" s="809">
        <f>'数据-取费表'!B41</f>
        <v>5.6000000000000001E-2</v>
      </c>
      <c r="G34" s="2064"/>
      <c r="H34" s="2073"/>
      <c r="I34" s="2074"/>
      <c r="J34" s="2075"/>
      <c r="K34" s="2076"/>
      <c r="L34" s="2077"/>
      <c r="M34" s="2078"/>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4"/>
      <c r="H35" s="2079"/>
      <c r="I35" s="2079"/>
      <c r="J35" s="2079"/>
      <c r="K35" s="2080"/>
      <c r="L35" s="2079"/>
      <c r="M35" s="2079"/>
    </row>
    <row r="36" spans="1:18" ht="18" customHeight="1">
      <c r="A36" s="813" t="s">
        <v>1880</v>
      </c>
      <c r="B36" s="341" t="s">
        <v>667</v>
      </c>
      <c r="C36" s="54">
        <f ca="1">ROUND(F36*F37/10000,1)</f>
        <v>0</v>
      </c>
      <c r="D36" s="814" t="s">
        <v>668</v>
      </c>
      <c r="E36" s="784" t="s">
        <v>669</v>
      </c>
      <c r="F36" s="640">
        <f>'数据-取费表'!B52</f>
        <v>18</v>
      </c>
      <c r="G36" s="2064"/>
      <c r="H36" s="2067"/>
      <c r="I36" s="3743"/>
      <c r="J36" s="2081"/>
      <c r="K36" s="2082"/>
      <c r="L36" s="2081"/>
      <c r="M36" s="2081"/>
    </row>
    <row r="37" spans="1:18" ht="18" customHeight="1">
      <c r="A37" s="815"/>
      <c r="B37" s="793"/>
      <c r="C37" s="69"/>
      <c r="D37" s="816"/>
      <c r="E37" s="784" t="s">
        <v>673</v>
      </c>
      <c r="F37" s="785">
        <f ca="1">INDIRECT("'数据-取费表'!r"&amp;$G$1)</f>
        <v>0</v>
      </c>
      <c r="G37" s="2064"/>
      <c r="H37" s="2067"/>
      <c r="I37" s="3743"/>
      <c r="J37" s="2079"/>
      <c r="K37" s="2080"/>
      <c r="L37" s="2079"/>
      <c r="M37" s="2079"/>
    </row>
    <row r="38" spans="1:18" ht="18" customHeight="1">
      <c r="A38" s="803" t="s">
        <v>1877</v>
      </c>
      <c r="B38" s="784" t="s">
        <v>675</v>
      </c>
      <c r="C38" s="53">
        <f ca="1">ROUND(C31*F38,1)</f>
        <v>0</v>
      </c>
      <c r="D38" s="1979" t="s">
        <v>690</v>
      </c>
      <c r="E38" s="784" t="s">
        <v>648</v>
      </c>
      <c r="F38" s="817">
        <f ca="1">INDIRECT("'数据-取费表'!Ak"&amp;$G$1)</f>
        <v>0</v>
      </c>
      <c r="G38" s="2064"/>
      <c r="H38" s="2079"/>
      <c r="I38" s="2083"/>
      <c r="J38" s="1990"/>
      <c r="K38" s="2084"/>
      <c r="L38" s="2079"/>
      <c r="M38" s="2079"/>
    </row>
    <row r="39" spans="1:18" ht="18" customHeight="1">
      <c r="A39" s="803" t="s">
        <v>1878</v>
      </c>
      <c r="B39" s="784" t="s">
        <v>678</v>
      </c>
      <c r="C39" s="53">
        <f ca="1">ROUND(C15*F39,1)</f>
        <v>0</v>
      </c>
      <c r="D39" s="1979" t="s">
        <v>679</v>
      </c>
      <c r="E39" s="784" t="s">
        <v>648</v>
      </c>
      <c r="F39" s="818">
        <f ca="1">INDIRECT("'数据-取费表'!Al"&amp;$G$1)</f>
        <v>0</v>
      </c>
      <c r="G39" s="2064"/>
      <c r="H39" s="2079"/>
      <c r="I39" s="2083"/>
      <c r="J39" s="1990"/>
      <c r="K39" s="2084"/>
      <c r="L39" s="2079"/>
      <c r="M39" s="2079"/>
    </row>
    <row r="40" spans="1:18" ht="18" customHeight="1" thickBot="1">
      <c r="A40" s="2586" t="s">
        <v>1879</v>
      </c>
      <c r="B40" s="2572" t="s">
        <v>665</v>
      </c>
      <c r="C40" s="2570">
        <f ca="1">ROUND(C7*F40,1)</f>
        <v>0</v>
      </c>
      <c r="D40" s="2571" t="s">
        <v>682</v>
      </c>
      <c r="E40" s="2572" t="s">
        <v>648</v>
      </c>
      <c r="F40" s="2568">
        <f ca="1">INDIRECT("'数据-取费表'!Am"&amp;$G$1)</f>
        <v>0</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1876</v>
      </c>
      <c r="B42" s="835" t="s">
        <v>692</v>
      </c>
      <c r="C42" s="829">
        <f ca="1">C7-C32</f>
        <v>0</v>
      </c>
      <c r="D42" s="1981" t="s">
        <v>693</v>
      </c>
      <c r="E42" s="1983"/>
      <c r="F42" s="820"/>
      <c r="G42" s="2064"/>
      <c r="H42" s="2064"/>
      <c r="I42" s="2064"/>
      <c r="J42" s="2064"/>
      <c r="K42" s="2085"/>
      <c r="L42" s="2064"/>
      <c r="M42" s="2064"/>
    </row>
    <row r="43" spans="1:18" ht="18" customHeight="1">
      <c r="A43" s="803" t="s">
        <v>1877</v>
      </c>
      <c r="B43" s="835" t="s">
        <v>710</v>
      </c>
      <c r="C43" s="836">
        <f ca="1">ROUND(C15*F43,0)</f>
        <v>0</v>
      </c>
      <c r="D43" s="1356" t="s">
        <v>711</v>
      </c>
      <c r="E43" s="3156" t="s">
        <v>2966</v>
      </c>
      <c r="F43" s="3157">
        <f ca="1">INDIRECT("'数据-取费表'!j"&amp;$G$1)</f>
        <v>0</v>
      </c>
      <c r="G43" s="2064"/>
      <c r="H43" s="2064"/>
      <c r="I43" s="2064"/>
      <c r="J43" s="2064"/>
      <c r="K43" s="2085"/>
      <c r="L43" s="2064"/>
      <c r="M43" s="2064"/>
    </row>
    <row r="44" spans="1:18" ht="18" customHeight="1">
      <c r="A44" s="803" t="s">
        <v>1878</v>
      </c>
      <c r="B44" s="835" t="s">
        <v>712</v>
      </c>
      <c r="C44" s="1357">
        <f ca="1">C42-C43</f>
        <v>0</v>
      </c>
      <c r="D44" s="463" t="s">
        <v>713</v>
      </c>
      <c r="E44" s="464"/>
      <c r="F44" s="465"/>
      <c r="G44" s="2064"/>
      <c r="H44" s="2064"/>
      <c r="I44" s="2064"/>
      <c r="J44" s="2064"/>
      <c r="K44" s="2085"/>
      <c r="L44" s="2064"/>
      <c r="M44" s="2064"/>
    </row>
    <row r="45" spans="1:18" ht="18" customHeight="1">
      <c r="A45" s="803" t="s">
        <v>1879</v>
      </c>
      <c r="B45" s="1356" t="s">
        <v>714</v>
      </c>
      <c r="C45" s="3065">
        <f ca="1">ROUND(-PV(F45,F46,C44,0),0)</f>
        <v>0</v>
      </c>
      <c r="D45" s="1358" t="s">
        <v>715</v>
      </c>
      <c r="E45" s="806" t="s">
        <v>716</v>
      </c>
      <c r="F45" s="830">
        <f ca="1">INDIRECT("'数据-取费表'!h"&amp;$G$1)</f>
        <v>0</v>
      </c>
      <c r="G45" s="2064"/>
      <c r="H45" s="2064"/>
      <c r="I45" s="2064"/>
      <c r="J45" s="2064"/>
      <c r="K45" s="2085"/>
      <c r="L45" s="2064"/>
      <c r="M45" s="2064"/>
    </row>
    <row r="46" spans="1:18" ht="18" customHeight="1" thickBot="1">
      <c r="A46" s="831"/>
      <c r="B46" s="1359"/>
      <c r="C46" s="1360"/>
      <c r="D46" s="1361"/>
      <c r="E46" s="3158" t="s">
        <v>2969</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2342</v>
      </c>
      <c r="J47" s="2381"/>
      <c r="K47" s="2382"/>
      <c r="L47" s="2383" t="str">
        <f ca="1">IF(M48="住宅",0,IF(L49&gt;J52,L61,J61))</f>
        <v>0</v>
      </c>
      <c r="O47" s="2420" t="s">
        <v>2410</v>
      </c>
      <c r="P47" s="1593"/>
      <c r="Q47" s="1605"/>
      <c r="R47" s="1593"/>
    </row>
    <row r="48" spans="1:18" s="2061" customFormat="1" ht="18" customHeight="1" thickBot="1">
      <c r="A48" s="2086"/>
      <c r="C48" s="2089"/>
      <c r="D48" s="2090"/>
      <c r="E48" s="2090"/>
      <c r="F48" s="2091"/>
      <c r="G48" s="2092"/>
      <c r="I48" s="2384" t="s">
        <v>2343</v>
      </c>
      <c r="J48" s="2389"/>
      <c r="K48" s="2390" t="s">
        <v>2349</v>
      </c>
      <c r="L48" s="2391">
        <f ca="1">INDIRECT("'数据-取费表'!d"&amp;$G$1)</f>
        <v>0</v>
      </c>
      <c r="M48" s="3153" t="str">
        <f>IF(ISNUMBER(FIND("住宅",C1)),"住宅","非住宅")</f>
        <v>非住宅</v>
      </c>
      <c r="O48" s="2421" t="s">
        <v>2375</v>
      </c>
      <c r="P48" s="2422" t="s">
        <v>2376</v>
      </c>
      <c r="Q48" s="2423" t="s">
        <v>2377</v>
      </c>
      <c r="R48" s="2422" t="s">
        <v>2378</v>
      </c>
    </row>
    <row r="49" spans="1:18" s="2061" customFormat="1" ht="18" customHeight="1" thickBot="1">
      <c r="A49" s="2086"/>
      <c r="D49" s="2093"/>
      <c r="E49" s="2094"/>
      <c r="F49" s="2091"/>
      <c r="G49" s="2092"/>
      <c r="H49" s="2095"/>
      <c r="I49" s="2385" t="s">
        <v>2344</v>
      </c>
      <c r="J49" s="2392"/>
      <c r="K49" s="2393" t="s">
        <v>2351</v>
      </c>
      <c r="L49" s="2394">
        <f ca="1">INDIRECT("'数据-取费表'!f"&amp;$G$1)</f>
        <v>0</v>
      </c>
      <c r="O49" s="2424" t="s">
        <v>2379</v>
      </c>
      <c r="P49" s="2425" t="s">
        <v>2405</v>
      </c>
      <c r="Q49" s="2426">
        <f ca="1">C41+J31</f>
        <v>0</v>
      </c>
      <c r="R49" s="2425" t="s">
        <v>2380</v>
      </c>
    </row>
    <row r="50" spans="1:18" s="2061" customFormat="1" ht="18" customHeight="1" thickBot="1">
      <c r="A50" s="2086"/>
      <c r="D50" s="2096"/>
      <c r="E50" s="2096"/>
      <c r="F50" s="2090"/>
      <c r="G50" s="2097"/>
      <c r="H50" s="2095"/>
      <c r="I50" s="2385" t="s">
        <v>2345</v>
      </c>
      <c r="J50" s="2395"/>
      <c r="K50" s="2396" t="s">
        <v>2352</v>
      </c>
      <c r="L50" s="2397"/>
      <c r="O50" s="2424" t="s">
        <v>2381</v>
      </c>
      <c r="P50" s="2425" t="s">
        <v>2406</v>
      </c>
      <c r="Q50" s="2426" t="str">
        <f ca="1">J61</f>
        <v>0</v>
      </c>
      <c r="R50" s="2425" t="s">
        <v>2382</v>
      </c>
    </row>
    <row r="51" spans="1:18" s="2061" customFormat="1" ht="18" customHeight="1" thickBot="1">
      <c r="A51" s="2098"/>
      <c r="D51" s="2096"/>
      <c r="E51" s="2096"/>
      <c r="F51" s="2087"/>
      <c r="H51" s="2095"/>
      <c r="I51" s="2385" t="s">
        <v>2346</v>
      </c>
      <c r="J51" s="2398">
        <f>SUMPRODUCT((I64:I66=J48)*(J63:L63=J49)*(J64:L66))</f>
        <v>0</v>
      </c>
      <c r="K51" s="2396" t="s">
        <v>2353</v>
      </c>
      <c r="L51" s="2397"/>
      <c r="O51" s="2427" t="s">
        <v>2383</v>
      </c>
      <c r="P51" s="2425" t="s">
        <v>2407</v>
      </c>
      <c r="Q51" s="2426">
        <f ca="1">C31</f>
        <v>0</v>
      </c>
      <c r="R51" s="2425" t="s">
        <v>2380</v>
      </c>
    </row>
    <row r="52" spans="1:18" s="2061" customFormat="1" ht="18" customHeight="1" thickBot="1">
      <c r="A52" s="2098"/>
      <c r="F52" s="2087"/>
      <c r="I52" s="2386" t="s">
        <v>2347</v>
      </c>
      <c r="J52" s="2399">
        <f>IF(J50="",J51,J50+J51-YEAR('数据-取费表'!B3))</f>
        <v>0</v>
      </c>
      <c r="K52" s="2385" t="s">
        <v>2354</v>
      </c>
      <c r="L52" s="2400">
        <f ca="1">ROUND(-PV(INDIRECT("'数据-取费表'!h"&amp;$G$1),L49,(C40-C14*J36),0),0)</f>
        <v>0</v>
      </c>
      <c r="O52" s="2427" t="s">
        <v>2384</v>
      </c>
      <c r="P52" s="2425" t="s">
        <v>2385</v>
      </c>
      <c r="Q52" s="2428" t="e">
        <f ca="1">J59</f>
        <v>#VALUE!</v>
      </c>
      <c r="R52" s="2429"/>
    </row>
    <row r="53" spans="1:18" s="2061" customFormat="1" ht="18" customHeight="1" thickBot="1">
      <c r="A53" s="2098"/>
      <c r="F53" s="2087"/>
      <c r="I53" s="2387" t="s">
        <v>2421</v>
      </c>
      <c r="J53" s="2401"/>
      <c r="K53" s="2387" t="s">
        <v>2420</v>
      </c>
      <c r="L53" s="2401"/>
      <c r="O53" s="2427" t="s">
        <v>2386</v>
      </c>
      <c r="P53" s="2425" t="s">
        <v>2387</v>
      </c>
      <c r="Q53" s="2428">
        <f>J53</f>
        <v>0</v>
      </c>
      <c r="R53" s="2429"/>
    </row>
    <row r="54" spans="1:18" s="2061" customFormat="1" ht="43.5" thickBot="1">
      <c r="A54" s="2098"/>
      <c r="I54" s="2388" t="s">
        <v>2348</v>
      </c>
      <c r="J54" s="2402">
        <f ca="1">IF(M48="住宅",J52,IF(J52&gt;L49,L49-'数据-取费表'!B25,J52))</f>
        <v>0</v>
      </c>
      <c r="K54" s="3748"/>
      <c r="L54" s="3749"/>
      <c r="O54" s="2427" t="s">
        <v>2388</v>
      </c>
      <c r="P54" s="2425" t="s">
        <v>2389</v>
      </c>
      <c r="Q54" s="2426">
        <f ca="1">J54</f>
        <v>0</v>
      </c>
      <c r="R54" s="2425" t="s">
        <v>2390</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2391</v>
      </c>
      <c r="P55" s="2425" t="s">
        <v>2408</v>
      </c>
      <c r="Q55" s="2426">
        <f ca="1">Q49+Q50</f>
        <v>0</v>
      </c>
      <c r="R55" s="2429" t="s">
        <v>2392</v>
      </c>
    </row>
    <row r="56" spans="1:18" s="2061" customFormat="1" ht="16.5" thickBot="1">
      <c r="A56" s="2098"/>
      <c r="B56" s="2099"/>
      <c r="C56" s="2099"/>
      <c r="I56" s="3130" t="s">
        <v>2355</v>
      </c>
      <c r="J56" s="3154" t="e">
        <f ca="1">ROUND(IF(J48="钢混",J58/J51,1-(1-2%)*(J51-J58)/J51),3)</f>
        <v>#VALUE!</v>
      </c>
      <c r="K56" s="2403" t="s">
        <v>2356</v>
      </c>
      <c r="L56" s="2404"/>
      <c r="O56" s="2430" t="s">
        <v>2411</v>
      </c>
      <c r="P56" s="1593"/>
      <c r="Q56" s="1605"/>
      <c r="R56" s="1593"/>
    </row>
    <row r="57" spans="1:18" s="2061" customFormat="1" ht="43.5" thickBot="1">
      <c r="A57" s="2098"/>
      <c r="B57" s="2099"/>
      <c r="C57" s="2099"/>
      <c r="I57" s="2405" t="s">
        <v>2357</v>
      </c>
      <c r="J57" s="3153" t="s">
        <v>1678</v>
      </c>
      <c r="K57" s="2385" t="s">
        <v>2362</v>
      </c>
      <c r="L57" s="2394">
        <f ca="1">IF(L49&lt;J52,"——",L49-J52)</f>
        <v>0</v>
      </c>
      <c r="O57" s="2421" t="s">
        <v>2375</v>
      </c>
      <c r="P57" s="2422" t="s">
        <v>2376</v>
      </c>
      <c r="Q57" s="2423" t="s">
        <v>2377</v>
      </c>
      <c r="R57" s="2422" t="s">
        <v>2378</v>
      </c>
    </row>
    <row r="58" spans="1:18" s="2061" customFormat="1" ht="29.25" thickBot="1">
      <c r="A58" s="2098"/>
      <c r="B58" s="2099"/>
      <c r="C58" s="2099"/>
      <c r="I58" s="2406" t="s">
        <v>2358</v>
      </c>
      <c r="J58" s="2408" t="str">
        <f ca="1">IF(OR(M48="住宅",J52&lt;L49,J57="是"),"——",J52-L49)</f>
        <v>——</v>
      </c>
      <c r="K58" s="2385" t="s">
        <v>2363</v>
      </c>
      <c r="L58" s="2394">
        <f ca="1">IF(L49&lt;J52,"——",IF(L56="比较法",L50,IF(L56="基准地价",L51,L52)))</f>
        <v>0</v>
      </c>
      <c r="O58" s="2424" t="s">
        <v>2379</v>
      </c>
      <c r="P58" s="2425" t="s">
        <v>2405</v>
      </c>
      <c r="Q58" s="2426">
        <f ca="1">C41+J31</f>
        <v>0</v>
      </c>
      <c r="R58" s="2425" t="s">
        <v>2380</v>
      </c>
    </row>
    <row r="59" spans="1:18" s="2061" customFormat="1" ht="29.25" thickBot="1">
      <c r="A59" s="2098"/>
      <c r="B59" s="2099"/>
      <c r="C59" s="2099"/>
      <c r="I59" s="2406" t="s">
        <v>2359</v>
      </c>
      <c r="J59" s="3155" t="e">
        <f ca="1">IF(J56&lt;0.4,0.4,J56)</f>
        <v>#VALUE!</v>
      </c>
      <c r="K59" s="2385" t="s">
        <v>2364</v>
      </c>
      <c r="L59" s="2394">
        <f ca="1">IF(ISERROR(POWER(1+L53,L48-L49)*(POWER(1+L53,L49)-1)/(POWER(1+L53,L48)-1)),0,POWER(1+L53,L48-L49)*(POWER(1+L53,L49)-1)/(POWER(1+L53,L48)-1))</f>
        <v>0</v>
      </c>
      <c r="O59" s="2424" t="s">
        <v>2381</v>
      </c>
      <c r="P59" s="2425" t="s">
        <v>2412</v>
      </c>
      <c r="Q59" s="2426" t="e">
        <f ca="1">L61</f>
        <v>#DIV/0!</v>
      </c>
      <c r="R59" s="2429" t="s">
        <v>2414</v>
      </c>
    </row>
    <row r="60" spans="1:18" s="2061" customFormat="1" ht="29.25" thickBot="1">
      <c r="A60" s="2098"/>
      <c r="B60" s="2099"/>
      <c r="C60" s="2099"/>
      <c r="I60" s="2406" t="s">
        <v>2360</v>
      </c>
      <c r="J60" s="2408" t="str">
        <f ca="1">IF(OR(M48="住宅",J52&lt;L49,J57="是"),"——",ROUND(C30*J59,0))</f>
        <v>——</v>
      </c>
      <c r="K60" s="2385" t="s">
        <v>2365</v>
      </c>
      <c r="L60" s="2394">
        <f ca="1">IF(ISERROR(POWER(1+L53,L48-J52)*(POWER(1+L53,J52)-1)/(POWER(1+L53,L48)-1)),0,POWER(1+L53,L48-J52)*(POWER(1+L53,J52)-1)/(POWER(1+L53,L48)-1))</f>
        <v>0</v>
      </c>
      <c r="O60" s="2427" t="s">
        <v>2383</v>
      </c>
      <c r="P60" s="2425" t="s">
        <v>2413</v>
      </c>
      <c r="Q60" s="2426">
        <f>IF(L56="比较法",L50,IF(L56="基准地价",L51,0))</f>
        <v>0</v>
      </c>
      <c r="R60" s="2425" t="s">
        <v>2380</v>
      </c>
    </row>
    <row r="61" spans="1:18" s="2061" customFormat="1" ht="15.75" thickBot="1">
      <c r="A61" s="2098"/>
      <c r="B61" s="2099"/>
      <c r="C61" s="2099"/>
      <c r="I61" s="2407" t="s">
        <v>2361</v>
      </c>
      <c r="J61" s="2409" t="str">
        <f ca="1">IF(OR(M48="住宅",J52&lt;L49,J57="是"),"0",ROUND(J60/(1+J53)^J54,0))</f>
        <v>0</v>
      </c>
      <c r="K61" s="2410" t="s">
        <v>2366</v>
      </c>
      <c r="L61" s="2409" t="e">
        <f ca="1">IF(OR(M48="住宅",L49&lt;J52),0,ROUND(L58*(L59/L60-1),0))</f>
        <v>#DIV/0!</v>
      </c>
      <c r="O61" s="2427" t="s">
        <v>2384</v>
      </c>
      <c r="P61" s="2425" t="s">
        <v>2393</v>
      </c>
      <c r="Q61" s="2428">
        <f>L53</f>
        <v>0</v>
      </c>
      <c r="R61" s="2429"/>
    </row>
    <row r="62" spans="1:18" s="2061" customFormat="1" ht="20.25" thickBot="1">
      <c r="A62" s="2098"/>
      <c r="B62" s="2099"/>
      <c r="C62" s="2099"/>
      <c r="K62" s="2088"/>
      <c r="O62" s="2427" t="s">
        <v>2386</v>
      </c>
      <c r="P62" s="2425" t="s">
        <v>2394</v>
      </c>
      <c r="Q62" s="2426">
        <f ca="1">L59</f>
        <v>0</v>
      </c>
      <c r="R62" s="2429" t="s">
        <v>2395</v>
      </c>
    </row>
    <row r="63" spans="1:18" s="2061" customFormat="1" ht="20.25" thickBot="1">
      <c r="A63" s="2098"/>
      <c r="B63" s="2099"/>
      <c r="C63" s="2099"/>
      <c r="I63" s="2411" t="s">
        <v>2367</v>
      </c>
      <c r="J63" s="2412" t="s">
        <v>2368</v>
      </c>
      <c r="K63" s="2412" t="s">
        <v>2369</v>
      </c>
      <c r="L63" s="2412" t="s">
        <v>2350</v>
      </c>
      <c r="M63" s="3132" t="s">
        <v>2945</v>
      </c>
      <c r="O63" s="2427" t="s">
        <v>2388</v>
      </c>
      <c r="P63" s="2425" t="s">
        <v>2396</v>
      </c>
      <c r="Q63" s="2426">
        <f ca="1">L60</f>
        <v>0</v>
      </c>
      <c r="R63" s="2429" t="s">
        <v>2397</v>
      </c>
    </row>
    <row r="64" spans="1:18" s="2061" customFormat="1" ht="15.75" thickBot="1">
      <c r="A64" s="2098"/>
      <c r="B64" s="2099"/>
      <c r="C64" s="2099"/>
      <c r="I64" s="2411" t="s">
        <v>2370</v>
      </c>
      <c r="J64" s="2412">
        <v>70</v>
      </c>
      <c r="K64" s="2412">
        <v>50</v>
      </c>
      <c r="L64" s="2412">
        <v>80</v>
      </c>
      <c r="M64" s="3133">
        <v>0.02</v>
      </c>
      <c r="O64" s="2424" t="s">
        <v>2391</v>
      </c>
      <c r="P64" s="2425" t="s">
        <v>2408</v>
      </c>
      <c r="Q64" s="2426" t="e">
        <f ca="1">Q58+Q59</f>
        <v>#DIV/0!</v>
      </c>
      <c r="R64" s="2429" t="s">
        <v>2392</v>
      </c>
    </row>
    <row r="65" spans="1:18" s="2061" customFormat="1" ht="16.5" thickBot="1">
      <c r="A65" s="2098"/>
      <c r="B65" s="2099"/>
      <c r="C65" s="2099"/>
      <c r="I65" s="2411" t="s">
        <v>2371</v>
      </c>
      <c r="J65" s="2412">
        <v>50</v>
      </c>
      <c r="K65" s="2412">
        <v>35</v>
      </c>
      <c r="L65" s="2412">
        <v>60</v>
      </c>
      <c r="M65" s="3134">
        <v>0</v>
      </c>
      <c r="O65" s="2430" t="s">
        <v>2415</v>
      </c>
      <c r="P65" s="1593"/>
      <c r="Q65" s="1605"/>
      <c r="R65" s="1593"/>
    </row>
    <row r="66" spans="1:18" s="2061" customFormat="1" ht="15.75" thickBot="1">
      <c r="A66" s="2098"/>
      <c r="B66" s="2099"/>
      <c r="C66" s="2099"/>
      <c r="I66" s="2411" t="s">
        <v>2372</v>
      </c>
      <c r="J66" s="2412">
        <v>40</v>
      </c>
      <c r="K66" s="2412">
        <v>30</v>
      </c>
      <c r="L66" s="2412">
        <v>50</v>
      </c>
      <c r="M66" s="3133">
        <v>0.02</v>
      </c>
      <c r="O66" s="2421" t="s">
        <v>2375</v>
      </c>
      <c r="P66" s="2422" t="s">
        <v>2376</v>
      </c>
      <c r="Q66" s="2423" t="s">
        <v>2377</v>
      </c>
      <c r="R66" s="2422" t="s">
        <v>2378</v>
      </c>
    </row>
    <row r="67" spans="1:18" s="2061" customFormat="1" ht="15.75" thickBot="1">
      <c r="A67" s="2098"/>
      <c r="B67" s="2099"/>
      <c r="C67" s="2099"/>
      <c r="K67" s="2088"/>
      <c r="O67" s="2424" t="s">
        <v>2379</v>
      </c>
      <c r="P67" s="2425" t="s">
        <v>2405</v>
      </c>
      <c r="Q67" s="2426">
        <f ca="1">C41+J31</f>
        <v>0</v>
      </c>
      <c r="R67" s="2425" t="s">
        <v>2380</v>
      </c>
    </row>
    <row r="68" spans="1:18" s="2061" customFormat="1" ht="20.25" thickBot="1">
      <c r="A68" s="2098"/>
      <c r="B68" s="2099"/>
      <c r="C68" s="2099"/>
      <c r="K68" s="2088"/>
      <c r="O68" s="2424" t="s">
        <v>2381</v>
      </c>
      <c r="P68" s="2425" t="s">
        <v>2412</v>
      </c>
      <c r="Q68" s="2426" t="e">
        <f ca="1">L61</f>
        <v>#DIV/0!</v>
      </c>
      <c r="R68" s="2429" t="s">
        <v>2414</v>
      </c>
    </row>
    <row r="69" spans="1:18" s="2061" customFormat="1" ht="21.75" thickBot="1">
      <c r="A69" s="2098"/>
      <c r="B69" s="2099"/>
      <c r="C69" s="2099"/>
      <c r="K69" s="2088"/>
      <c r="O69" s="2427" t="s">
        <v>2383</v>
      </c>
      <c r="P69" s="2425" t="s">
        <v>2413</v>
      </c>
      <c r="Q69" s="2431">
        <f ca="1">L52</f>
        <v>0</v>
      </c>
      <c r="R69" s="2432" t="s">
        <v>2416</v>
      </c>
    </row>
    <row r="70" spans="1:18" s="2061" customFormat="1" ht="20.25" thickBot="1">
      <c r="A70" s="2098"/>
      <c r="B70" s="2099"/>
      <c r="C70" s="2099"/>
      <c r="K70" s="2088"/>
      <c r="O70" s="2427" t="s">
        <v>2384</v>
      </c>
      <c r="P70" s="2433" t="s">
        <v>2398</v>
      </c>
      <c r="Q70" s="2426">
        <f ca="1">ROUND(Q71-Q72*Q73,0)</f>
        <v>0</v>
      </c>
      <c r="R70" s="2429"/>
    </row>
    <row r="71" spans="1:18" s="2061" customFormat="1" ht="15.75" thickBot="1">
      <c r="A71" s="2098"/>
      <c r="B71" s="2099"/>
      <c r="C71" s="2099"/>
      <c r="K71" s="2088"/>
      <c r="O71" s="2427" t="s">
        <v>2399</v>
      </c>
      <c r="P71" s="2433" t="s">
        <v>2400</v>
      </c>
      <c r="Q71" s="2426">
        <f ca="1">C42</f>
        <v>0</v>
      </c>
      <c r="R71" s="2425" t="s">
        <v>2380</v>
      </c>
    </row>
    <row r="72" spans="1:18" s="2061" customFormat="1" ht="15.75" thickBot="1">
      <c r="A72" s="2098"/>
      <c r="B72" s="2099"/>
      <c r="C72" s="2099"/>
      <c r="K72" s="2088"/>
      <c r="O72" s="2427" t="s">
        <v>2401</v>
      </c>
      <c r="P72" s="2433" t="s">
        <v>2402</v>
      </c>
      <c r="Q72" s="2426">
        <f ca="1">C15</f>
        <v>0</v>
      </c>
      <c r="R72" s="2425" t="s">
        <v>2380</v>
      </c>
    </row>
    <row r="73" spans="1:18" s="2061" customFormat="1" ht="15.75" thickBot="1">
      <c r="A73" s="2098"/>
      <c r="B73" s="2099"/>
      <c r="C73" s="2099"/>
      <c r="K73" s="2088"/>
      <c r="O73" s="2427" t="s">
        <v>2403</v>
      </c>
      <c r="P73" s="2433" t="s">
        <v>2404</v>
      </c>
      <c r="Q73" s="2428">
        <f ca="1">F43</f>
        <v>0</v>
      </c>
      <c r="R73" s="2429"/>
    </row>
    <row r="74" spans="1:18" s="2061" customFormat="1" ht="15.75" thickBot="1">
      <c r="A74" s="2098"/>
      <c r="B74" s="2099"/>
      <c r="C74" s="2099"/>
      <c r="K74" s="2088"/>
      <c r="O74" s="2427" t="s">
        <v>2386</v>
      </c>
      <c r="P74" s="2425" t="s">
        <v>2393</v>
      </c>
      <c r="Q74" s="2428">
        <f>L53</f>
        <v>0</v>
      </c>
      <c r="R74" s="2429"/>
    </row>
    <row r="75" spans="1:18" s="2061" customFormat="1" ht="20.25" thickBot="1">
      <c r="A75" s="2098"/>
      <c r="B75" s="2099"/>
      <c r="C75" s="2099"/>
      <c r="K75" s="2088"/>
      <c r="O75" s="2427" t="s">
        <v>2388</v>
      </c>
      <c r="P75" s="2425" t="s">
        <v>2394</v>
      </c>
      <c r="Q75" s="2426">
        <f ca="1">L59</f>
        <v>0</v>
      </c>
      <c r="R75" s="2429" t="s">
        <v>2395</v>
      </c>
    </row>
    <row r="76" spans="1:18" s="2061" customFormat="1" ht="20.25" thickBot="1">
      <c r="A76" s="2098"/>
      <c r="B76" s="2099"/>
      <c r="C76" s="2099"/>
      <c r="K76" s="2088"/>
      <c r="O76" s="2427" t="s">
        <v>2417</v>
      </c>
      <c r="P76" s="2425" t="s">
        <v>2396</v>
      </c>
      <c r="Q76" s="2426">
        <f ca="1">L60</f>
        <v>0</v>
      </c>
      <c r="R76" s="2429" t="s">
        <v>2397</v>
      </c>
    </row>
    <row r="77" spans="1:18" s="2061" customFormat="1" ht="15.75" thickBot="1">
      <c r="A77" s="2098"/>
      <c r="B77" s="2099"/>
      <c r="C77" s="2099"/>
      <c r="K77" s="2088"/>
      <c r="O77" s="2424" t="s">
        <v>2391</v>
      </c>
      <c r="P77" s="2425" t="s">
        <v>2408</v>
      </c>
      <c r="Q77" s="2426" t="e">
        <f ca="1">Q67+Q68</f>
        <v>#DIV/0!</v>
      </c>
      <c r="R77" s="2429" t="s">
        <v>2392</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56" t="s">
        <v>2578</v>
      </c>
      <c r="C1" s="3756"/>
      <c r="D1" s="3756"/>
      <c r="E1" s="3756"/>
      <c r="F1" s="3756"/>
      <c r="G1" s="3755" t="s">
        <v>2579</v>
      </c>
      <c r="H1" s="3755"/>
      <c r="I1" s="3755"/>
      <c r="J1" s="3755"/>
      <c r="K1" s="3755"/>
      <c r="L1" s="3755"/>
      <c r="N1" s="3755" t="s">
        <v>2580</v>
      </c>
      <c r="O1" s="3755"/>
      <c r="P1" s="3755"/>
      <c r="Q1" s="3755"/>
      <c r="R1" s="2681"/>
      <c r="S1" s="3755" t="s">
        <v>2581</v>
      </c>
      <c r="T1" s="3755"/>
      <c r="U1" s="3755"/>
      <c r="V1" s="3755"/>
      <c r="X1" s="3754" t="s">
        <v>2641</v>
      </c>
      <c r="Y1" s="3755"/>
      <c r="Z1" s="3755"/>
      <c r="AA1" s="3755"/>
      <c r="AB1" s="3755"/>
      <c r="AD1" s="3754" t="s">
        <v>2645</v>
      </c>
      <c r="AE1" s="3755"/>
      <c r="AF1" s="3755"/>
      <c r="AG1" s="3755"/>
      <c r="AH1" s="3755"/>
    </row>
    <row r="2" spans="1:34" s="2783" customFormat="1" ht="14.25" thickBot="1">
      <c r="B2" s="2791" t="s">
        <v>2582</v>
      </c>
      <c r="C2" s="2791" t="s">
        <v>2643</v>
      </c>
      <c r="D2" s="2784" t="s">
        <v>1644</v>
      </c>
      <c r="E2" s="2784" t="s">
        <v>1951</v>
      </c>
      <c r="F2" s="2791" t="s">
        <v>2644</v>
      </c>
      <c r="G2" s="2787"/>
      <c r="H2" s="2786"/>
      <c r="I2" s="2791" t="s">
        <v>2960</v>
      </c>
      <c r="J2" s="2784" t="s">
        <v>2962</v>
      </c>
      <c r="K2" s="2784" t="s">
        <v>2963</v>
      </c>
      <c r="L2" s="2791" t="s">
        <v>2964</v>
      </c>
      <c r="N2" s="2791" t="s">
        <v>2582</v>
      </c>
      <c r="O2" s="2784" t="s">
        <v>2961</v>
      </c>
      <c r="P2" s="2784" t="s">
        <v>1951</v>
      </c>
      <c r="Q2" s="2791" t="s">
        <v>2644</v>
      </c>
      <c r="R2" s="2785"/>
      <c r="S2" s="2791" t="s">
        <v>2582</v>
      </c>
      <c r="T2" s="2784" t="s">
        <v>2961</v>
      </c>
      <c r="U2" s="2784" t="s">
        <v>1951</v>
      </c>
      <c r="V2" s="2791" t="s">
        <v>2644</v>
      </c>
      <c r="X2" s="2791" t="s">
        <v>2582</v>
      </c>
      <c r="Y2" s="2791" t="s">
        <v>2643</v>
      </c>
      <c r="Z2" s="2784" t="s">
        <v>1644</v>
      </c>
      <c r="AA2" s="2784" t="s">
        <v>1951</v>
      </c>
      <c r="AB2" s="2791" t="s">
        <v>2644</v>
      </c>
      <c r="AD2" s="2791" t="s">
        <v>2582</v>
      </c>
      <c r="AE2" s="2791" t="s">
        <v>2643</v>
      </c>
      <c r="AF2" s="2784" t="s">
        <v>1644</v>
      </c>
      <c r="AG2" s="2784" t="s">
        <v>1951</v>
      </c>
      <c r="AH2" s="2791" t="s">
        <v>2644</v>
      </c>
    </row>
    <row r="3" spans="1:34" s="3168" customFormat="1" ht="14.25">
      <c r="A3" s="3180" t="s">
        <v>2974</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2973</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2975</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2971</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2976</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2583</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2584</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970</v>
      </c>
      <c r="B10" s="2688">
        <v>392</v>
      </c>
      <c r="C10" s="2688">
        <v>302</v>
      </c>
      <c r="D10" s="2688">
        <f t="shared" si="3"/>
        <v>302</v>
      </c>
      <c r="E10" s="2688">
        <v>553</v>
      </c>
      <c r="F10" s="2689">
        <v>266</v>
      </c>
      <c r="G10" s="3753">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969</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51"/>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959</v>
      </c>
      <c r="B12" s="2696">
        <f t="shared" si="28"/>
        <v>360.06949782209392</v>
      </c>
      <c r="C12" s="2696">
        <f t="shared" si="28"/>
        <v>289.84672674747821</v>
      </c>
      <c r="D12" s="2696">
        <f t="shared" si="29"/>
        <v>289.84672674747821</v>
      </c>
      <c r="E12" s="2696">
        <f t="shared" si="30"/>
        <v>501.06543001181495</v>
      </c>
      <c r="F12" s="2696">
        <f t="shared" si="30"/>
        <v>256.82882500744967</v>
      </c>
      <c r="G12" s="3751"/>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968</v>
      </c>
      <c r="B13" s="2696">
        <f t="shared" si="28"/>
        <v>346.720748986128</v>
      </c>
      <c r="C13" s="2696">
        <f t="shared" si="28"/>
        <v>284.30282172386285</v>
      </c>
      <c r="D13" s="2696">
        <f t="shared" si="29"/>
        <v>284.30282172386285</v>
      </c>
      <c r="E13" s="2696">
        <f t="shared" si="30"/>
        <v>479.58023546306947</v>
      </c>
      <c r="F13" s="2696">
        <f t="shared" si="30"/>
        <v>253.25788877571213</v>
      </c>
      <c r="G13" s="3752"/>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967</v>
      </c>
      <c r="B14" s="2688">
        <v>333</v>
      </c>
      <c r="C14" s="2688">
        <v>277</v>
      </c>
      <c r="D14" s="2688">
        <f t="shared" si="29"/>
        <v>277</v>
      </c>
      <c r="E14" s="2688">
        <v>459</v>
      </c>
      <c r="F14" s="2689">
        <v>249</v>
      </c>
      <c r="G14" s="3750">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966</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51"/>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965</v>
      </c>
      <c r="B16" s="2696">
        <f t="shared" si="32"/>
        <v>322.34053690220776</v>
      </c>
      <c r="C16" s="2696">
        <f t="shared" si="32"/>
        <v>271.46160770422546</v>
      </c>
      <c r="D16" s="2696">
        <f t="shared" si="29"/>
        <v>271.46160770422546</v>
      </c>
      <c r="E16" s="2696">
        <f t="shared" si="33"/>
        <v>442.69434542172456</v>
      </c>
      <c r="F16" s="2696">
        <f t="shared" si="33"/>
        <v>241.34030753190925</v>
      </c>
      <c r="G16" s="3751"/>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964</v>
      </c>
      <c r="B17" s="2696">
        <f t="shared" si="32"/>
        <v>319.87748030386797</v>
      </c>
      <c r="C17" s="2696">
        <f t="shared" si="32"/>
        <v>269.60135833173649</v>
      </c>
      <c r="D17" s="2696">
        <f t="shared" si="29"/>
        <v>269.60135833173649</v>
      </c>
      <c r="E17" s="2696">
        <f t="shared" si="33"/>
        <v>439.18089823583784</v>
      </c>
      <c r="F17" s="2696">
        <f t="shared" si="33"/>
        <v>239.23503918706311</v>
      </c>
      <c r="G17" s="3752"/>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963</v>
      </c>
      <c r="B18" s="2710">
        <v>318</v>
      </c>
      <c r="C18" s="2710">
        <v>268</v>
      </c>
      <c r="D18" s="2710">
        <f t="shared" si="29"/>
        <v>268</v>
      </c>
      <c r="E18" s="2710">
        <v>437</v>
      </c>
      <c r="F18" s="2711">
        <v>237</v>
      </c>
      <c r="G18" s="3750">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962</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51"/>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961</v>
      </c>
      <c r="B20" s="2696">
        <f t="shared" si="34"/>
        <v>314.72141172386546</v>
      </c>
      <c r="C20" s="2696">
        <f t="shared" si="34"/>
        <v>263.03901319069001</v>
      </c>
      <c r="D20" s="2696">
        <f t="shared" si="29"/>
        <v>263.03901319069001</v>
      </c>
      <c r="E20" s="2696">
        <f t="shared" si="35"/>
        <v>433.65745506782821</v>
      </c>
      <c r="F20" s="2696">
        <f t="shared" si="35"/>
        <v>233.23005080045735</v>
      </c>
      <c r="G20" s="3751"/>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960</v>
      </c>
      <c r="B21" s="2715">
        <f t="shared" si="34"/>
        <v>307.34512863658733</v>
      </c>
      <c r="C21" s="2715">
        <f t="shared" si="34"/>
        <v>257.80556031626975</v>
      </c>
      <c r="D21" s="2715">
        <f t="shared" si="29"/>
        <v>257.80556031626975</v>
      </c>
      <c r="E21" s="2715">
        <f t="shared" si="35"/>
        <v>422.70928459677179</v>
      </c>
      <c r="F21" s="2715">
        <f t="shared" si="35"/>
        <v>229.73803270336617</v>
      </c>
      <c r="G21" s="3752"/>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2642</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2585</v>
      </c>
      <c r="B22" s="2688">
        <v>299</v>
      </c>
      <c r="C22" s="2688">
        <v>252</v>
      </c>
      <c r="D22" s="2688">
        <f t="shared" si="29"/>
        <v>252</v>
      </c>
      <c r="E22" s="2688">
        <v>409</v>
      </c>
      <c r="F22" s="2689">
        <v>227</v>
      </c>
      <c r="G22" s="3757">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2586</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58"/>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2587</v>
      </c>
      <c r="B24" s="2696">
        <f t="shared" si="38"/>
        <v>288.2649053828776</v>
      </c>
      <c r="C24" s="2696">
        <f t="shared" si="38"/>
        <v>243.64564425013293</v>
      </c>
      <c r="D24" s="2696">
        <f t="shared" si="29"/>
        <v>243.64564425013293</v>
      </c>
      <c r="E24" s="2696">
        <f t="shared" si="39"/>
        <v>393.31080825986544</v>
      </c>
      <c r="F24" s="2696">
        <f t="shared" si="39"/>
        <v>223.07903790551154</v>
      </c>
      <c r="G24" s="3758"/>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2588</v>
      </c>
      <c r="B25" s="2696">
        <f t="shared" si="38"/>
        <v>282.50186729015837</v>
      </c>
      <c r="C25" s="2696">
        <f t="shared" si="38"/>
        <v>238.09796174155468</v>
      </c>
      <c r="D25" s="2696">
        <f t="shared" si="29"/>
        <v>238.09796174155468</v>
      </c>
      <c r="E25" s="2696">
        <f t="shared" si="39"/>
        <v>385.33438646014054</v>
      </c>
      <c r="F25" s="2696">
        <f t="shared" si="39"/>
        <v>221.55034055567739</v>
      </c>
      <c r="G25" s="3759"/>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2589</v>
      </c>
      <c r="B26" s="2726">
        <v>278</v>
      </c>
      <c r="C26" s="2726">
        <v>234</v>
      </c>
      <c r="D26" s="2726">
        <f t="shared" si="29"/>
        <v>234</v>
      </c>
      <c r="E26" s="2726">
        <v>379</v>
      </c>
      <c r="F26" s="2727">
        <v>220</v>
      </c>
      <c r="G26" s="3750">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2590</v>
      </c>
      <c r="B27" s="2696">
        <f>B26/(1+N26)</f>
        <v>275.49301357645425</v>
      </c>
      <c r="C27" s="2696">
        <f>C26/(1+O26)</f>
        <v>232.41954707985698</v>
      </c>
      <c r="D27" s="2696">
        <f t="shared" si="29"/>
        <v>232.41954707985698</v>
      </c>
      <c r="E27" s="2696">
        <f t="shared" ref="E27:F29" si="40">E26/(1+P26)</f>
        <v>375.32184591008121</v>
      </c>
      <c r="F27" s="2696">
        <f t="shared" si="40"/>
        <v>218.03766105054513</v>
      </c>
      <c r="G27" s="3751"/>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2591</v>
      </c>
      <c r="B28" s="2696">
        <f>B27/(1+N27)</f>
        <v>275.24529281292263</v>
      </c>
      <c r="C28" s="2696">
        <f>C27/(1+O27)</f>
        <v>231.74747938962707</v>
      </c>
      <c r="D28" s="2696">
        <f t="shared" si="29"/>
        <v>231.74747938962707</v>
      </c>
      <c r="E28" s="2696">
        <f t="shared" si="40"/>
        <v>375.35938184826603</v>
      </c>
      <c r="F28" s="2696">
        <f t="shared" si="40"/>
        <v>216.78033510692495</v>
      </c>
      <c r="G28" s="3751"/>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2592</v>
      </c>
      <c r="B29" s="2696">
        <f>B28/(1+N28)</f>
        <v>275.19025476197027</v>
      </c>
      <c r="C29" s="2728">
        <v>232</v>
      </c>
      <c r="D29" s="2728">
        <f t="shared" si="29"/>
        <v>232</v>
      </c>
      <c r="E29" s="2696">
        <f t="shared" si="40"/>
        <v>375.65990977608692</v>
      </c>
      <c r="F29" s="2696">
        <f t="shared" si="40"/>
        <v>214.12518283971252</v>
      </c>
      <c r="G29" s="3752"/>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2593</v>
      </c>
      <c r="B30" s="2688">
        <v>275</v>
      </c>
      <c r="C30" s="2688">
        <v>232</v>
      </c>
      <c r="D30" s="2688">
        <f t="shared" si="29"/>
        <v>232</v>
      </c>
      <c r="E30" s="2688">
        <v>376</v>
      </c>
      <c r="F30" s="2689">
        <v>213</v>
      </c>
      <c r="G30" s="3750">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2594</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51">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2595</v>
      </c>
      <c r="B32" s="2696">
        <f t="shared" si="41"/>
        <v>275.19335084830601</v>
      </c>
      <c r="C32" s="2696">
        <f t="shared" si="41"/>
        <v>230.18088050139744</v>
      </c>
      <c r="D32" s="2696">
        <f t="shared" si="29"/>
        <v>230.18088050139744</v>
      </c>
      <c r="E32" s="2696">
        <f t="shared" si="42"/>
        <v>377.58482925212331</v>
      </c>
      <c r="F32" s="2696">
        <f t="shared" si="42"/>
        <v>210.90687997847917</v>
      </c>
      <c r="G32" s="3751">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2596</v>
      </c>
      <c r="B33" s="2696">
        <f t="shared" si="41"/>
        <v>276.29854502841971</v>
      </c>
      <c r="C33" s="2696">
        <f t="shared" si="41"/>
        <v>229.79023709833027</v>
      </c>
      <c r="D33" s="2696">
        <f t="shared" si="29"/>
        <v>229.79023709833027</v>
      </c>
      <c r="E33" s="2696">
        <f t="shared" si="42"/>
        <v>379.78759731655936</v>
      </c>
      <c r="F33" s="2696">
        <f t="shared" si="42"/>
        <v>211.32953905659235</v>
      </c>
      <c r="G33" s="3752">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2597</v>
      </c>
      <c r="B34" s="2688">
        <v>269</v>
      </c>
      <c r="C34" s="2688">
        <v>221</v>
      </c>
      <c r="D34" s="2688">
        <f t="shared" si="29"/>
        <v>221</v>
      </c>
      <c r="E34" s="2688">
        <v>373</v>
      </c>
      <c r="F34" s="2689">
        <v>196</v>
      </c>
      <c r="G34" s="3750">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2598</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51">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2599</v>
      </c>
      <c r="B36" s="2696">
        <f t="shared" si="43"/>
        <v>242.95398227588385</v>
      </c>
      <c r="C36" s="2696">
        <f t="shared" si="43"/>
        <v>199.59137053614126</v>
      </c>
      <c r="D36" s="2696">
        <f t="shared" si="29"/>
        <v>199.59137053614126</v>
      </c>
      <c r="E36" s="2696">
        <f t="shared" si="44"/>
        <v>335.92189522342125</v>
      </c>
      <c r="F36" s="2696">
        <f t="shared" si="44"/>
        <v>183.10139991109489</v>
      </c>
      <c r="G36" s="3751">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2600</v>
      </c>
      <c r="B37" s="2696">
        <f t="shared" si="43"/>
        <v>232.06990378821649</v>
      </c>
      <c r="C37" s="2696">
        <f t="shared" si="43"/>
        <v>192.74878854286936</v>
      </c>
      <c r="D37" s="2696">
        <f t="shared" si="29"/>
        <v>192.74878854286936</v>
      </c>
      <c r="E37" s="2696">
        <f t="shared" si="44"/>
        <v>319.71247284992984</v>
      </c>
      <c r="F37" s="2696">
        <f t="shared" si="44"/>
        <v>175.67053622862409</v>
      </c>
      <c r="G37" s="3752">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2601</v>
      </c>
      <c r="B38" s="2688">
        <v>220</v>
      </c>
      <c r="C38" s="2688">
        <v>187</v>
      </c>
      <c r="D38" s="2688">
        <f t="shared" si="29"/>
        <v>187</v>
      </c>
      <c r="E38" s="2688">
        <v>301</v>
      </c>
      <c r="F38" s="2689">
        <v>168</v>
      </c>
      <c r="G38" s="3750">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2602</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51">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2603</v>
      </c>
      <c r="B40" s="2696">
        <f t="shared" si="45"/>
        <v>210.630522469011</v>
      </c>
      <c r="C40" s="2696">
        <f t="shared" si="45"/>
        <v>181.69567812247232</v>
      </c>
      <c r="D40" s="2696">
        <f t="shared" si="29"/>
        <v>181.69567812247232</v>
      </c>
      <c r="E40" s="2696">
        <f t="shared" si="46"/>
        <v>286.13517466736738</v>
      </c>
      <c r="F40" s="2696">
        <f t="shared" si="46"/>
        <v>165.47535084591149</v>
      </c>
      <c r="G40" s="3751">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2604</v>
      </c>
      <c r="B41" s="2696">
        <f t="shared" si="45"/>
        <v>208.83454537875372</v>
      </c>
      <c r="C41" s="2696">
        <f t="shared" si="45"/>
        <v>183.77230517090351</v>
      </c>
      <c r="D41" s="2696">
        <f t="shared" si="29"/>
        <v>183.77230517090351</v>
      </c>
      <c r="E41" s="2696">
        <f t="shared" si="46"/>
        <v>281.10342338870947</v>
      </c>
      <c r="F41" s="2696">
        <f t="shared" si="46"/>
        <v>168.97309388942256</v>
      </c>
      <c r="G41" s="3752">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2605</v>
      </c>
      <c r="B42" s="2726">
        <v>214</v>
      </c>
      <c r="C42" s="2726">
        <v>188</v>
      </c>
      <c r="D42" s="2726">
        <f t="shared" si="29"/>
        <v>188</v>
      </c>
      <c r="E42" s="2726">
        <v>289</v>
      </c>
      <c r="F42" s="2727">
        <v>166</v>
      </c>
      <c r="G42" s="3750">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2606</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51">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2607</v>
      </c>
      <c r="B44" s="2696">
        <f t="shared" si="47"/>
        <v>206.31694671589116</v>
      </c>
      <c r="C44" s="2696">
        <f t="shared" si="47"/>
        <v>183.61041121036101</v>
      </c>
      <c r="D44" s="2696">
        <f t="shared" si="29"/>
        <v>183.61041121036101</v>
      </c>
      <c r="E44" s="2696">
        <f t="shared" si="48"/>
        <v>276.66850301795557</v>
      </c>
      <c r="F44" s="2696">
        <f t="shared" si="48"/>
        <v>165.1360938278614</v>
      </c>
      <c r="G44" s="3751">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2608</v>
      </c>
      <c r="B45" s="2729">
        <f t="shared" si="47"/>
        <v>196.62341248059772</v>
      </c>
      <c r="C45" s="2729">
        <f t="shared" si="47"/>
        <v>170.99125648199012</v>
      </c>
      <c r="D45" s="2729">
        <f t="shared" si="29"/>
        <v>170.99125648199012</v>
      </c>
      <c r="E45" s="2729">
        <f t="shared" si="48"/>
        <v>266.07857570490052</v>
      </c>
      <c r="F45" s="2729">
        <f t="shared" si="48"/>
        <v>154.53499328828505</v>
      </c>
      <c r="G45" s="3752">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2609</v>
      </c>
      <c r="B46" s="2688">
        <v>188</v>
      </c>
      <c r="C46" s="2688">
        <v>165</v>
      </c>
      <c r="D46" s="2688">
        <f t="shared" si="29"/>
        <v>165</v>
      </c>
      <c r="E46" s="2688">
        <v>254</v>
      </c>
      <c r="F46" s="2689">
        <v>148</v>
      </c>
      <c r="G46" s="3750">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2610</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51">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2611</v>
      </c>
      <c r="B48" s="2696">
        <f t="shared" si="51"/>
        <v>168.82017748715555</v>
      </c>
      <c r="C48" s="2696">
        <f t="shared" si="51"/>
        <v>148.06267029972753</v>
      </c>
      <c r="D48" s="2696">
        <f t="shared" si="29"/>
        <v>148.06267029972753</v>
      </c>
      <c r="E48" s="2696">
        <f t="shared" si="52"/>
        <v>216.46288379323747</v>
      </c>
      <c r="F48" s="2696">
        <f t="shared" si="52"/>
        <v>134.23529411764704</v>
      </c>
      <c r="G48" s="3751">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2612</v>
      </c>
      <c r="B49" s="2696">
        <f t="shared" si="51"/>
        <v>163.84913591779542</v>
      </c>
      <c r="C49" s="2696">
        <f t="shared" si="51"/>
        <v>145.0283378746594</v>
      </c>
      <c r="D49" s="2696">
        <f t="shared" si="29"/>
        <v>145.0283378746594</v>
      </c>
      <c r="E49" s="2696">
        <f t="shared" si="52"/>
        <v>204.95180722891567</v>
      </c>
      <c r="F49" s="2696">
        <f t="shared" si="52"/>
        <v>125.95920303605313</v>
      </c>
      <c r="G49" s="3752">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2613</v>
      </c>
      <c r="B50" s="2710">
        <v>159</v>
      </c>
      <c r="C50" s="2710">
        <v>141</v>
      </c>
      <c r="D50" s="2710">
        <f t="shared" si="29"/>
        <v>141</v>
      </c>
      <c r="E50" s="2710">
        <v>195</v>
      </c>
      <c r="F50" s="2711">
        <v>122</v>
      </c>
      <c r="G50" s="3750">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2614</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51">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2615</v>
      </c>
      <c r="B52" s="2696">
        <f t="shared" si="55"/>
        <v>146.57412060301507</v>
      </c>
      <c r="C52" s="2696">
        <f t="shared" si="55"/>
        <v>136.46831955922866</v>
      </c>
      <c r="D52" s="2696">
        <f t="shared" si="29"/>
        <v>136.46831955922866</v>
      </c>
      <c r="E52" s="2696">
        <f t="shared" si="56"/>
        <v>166.73864894795128</v>
      </c>
      <c r="F52" s="2696">
        <f t="shared" si="56"/>
        <v>115.05882352941177</v>
      </c>
      <c r="G52" s="3751">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2616</v>
      </c>
      <c r="B53" s="2696">
        <f t="shared" si="55"/>
        <v>144.04145728643215</v>
      </c>
      <c r="C53" s="2696">
        <f t="shared" si="55"/>
        <v>136.12396694214877</v>
      </c>
      <c r="D53" s="2696">
        <f t="shared" si="29"/>
        <v>136.12396694214877</v>
      </c>
      <c r="E53" s="2696">
        <f t="shared" si="56"/>
        <v>158.32225913621264</v>
      </c>
      <c r="F53" s="2696">
        <f t="shared" si="56"/>
        <v>114.04278074866311</v>
      </c>
      <c r="G53" s="3752">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2617</v>
      </c>
      <c r="B54" s="2710">
        <v>138</v>
      </c>
      <c r="C54" s="2710">
        <v>131</v>
      </c>
      <c r="D54" s="2710">
        <f t="shared" si="29"/>
        <v>131</v>
      </c>
      <c r="E54" s="2710">
        <v>155</v>
      </c>
      <c r="F54" s="2711">
        <v>114</v>
      </c>
      <c r="G54" s="3750">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2618</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51">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2619</v>
      </c>
      <c r="B56" s="2696">
        <f t="shared" si="59"/>
        <v>124.29032258064517</v>
      </c>
      <c r="C56" s="2696">
        <f t="shared" si="59"/>
        <v>123.8968609865471</v>
      </c>
      <c r="D56" s="2696">
        <f t="shared" si="29"/>
        <v>123.8968609865471</v>
      </c>
      <c r="E56" s="2696">
        <f t="shared" si="60"/>
        <v>138.00507614213197</v>
      </c>
      <c r="F56" s="2696">
        <f t="shared" si="60"/>
        <v>107.96106557377048</v>
      </c>
      <c r="G56" s="3751">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2620</v>
      </c>
      <c r="B57" s="2696">
        <f t="shared" si="59"/>
        <v>122.57204301075269</v>
      </c>
      <c r="C57" s="2696">
        <f t="shared" si="59"/>
        <v>123.4932735426009</v>
      </c>
      <c r="D57" s="2696">
        <f t="shared" si="29"/>
        <v>123.4932735426009</v>
      </c>
      <c r="E57" s="2696">
        <f t="shared" si="60"/>
        <v>129.82233502538071</v>
      </c>
      <c r="F57" s="2696">
        <f t="shared" si="60"/>
        <v>107.39446721311475</v>
      </c>
      <c r="G57" s="3752">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2621</v>
      </c>
      <c r="B58" s="2726">
        <v>121</v>
      </c>
      <c r="C58" s="2726">
        <v>122</v>
      </c>
      <c r="D58" s="2726">
        <f t="shared" si="29"/>
        <v>122</v>
      </c>
      <c r="E58" s="2726">
        <v>124</v>
      </c>
      <c r="F58" s="2727">
        <v>107</v>
      </c>
      <c r="G58" s="3750">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2622</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51">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2623</v>
      </c>
      <c r="B60" s="2696">
        <f t="shared" si="63"/>
        <v>116.99099099099099</v>
      </c>
      <c r="C60" s="2696">
        <f t="shared" si="63"/>
        <v>118.84848484848486</v>
      </c>
      <c r="D60" s="2696">
        <f t="shared" si="29"/>
        <v>118.84848484848486</v>
      </c>
      <c r="E60" s="2696">
        <f t="shared" si="64"/>
        <v>117.60960960960961</v>
      </c>
      <c r="F60" s="2696">
        <f t="shared" si="64"/>
        <v>104</v>
      </c>
      <c r="G60" s="3751">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2624</v>
      </c>
      <c r="B61" s="2729">
        <f t="shared" si="63"/>
        <v>112.48648648648648</v>
      </c>
      <c r="C61" s="2729">
        <f t="shared" si="63"/>
        <v>115.21212121212122</v>
      </c>
      <c r="D61" s="2729">
        <f t="shared" si="29"/>
        <v>115.21212121212122</v>
      </c>
      <c r="E61" s="2729">
        <f t="shared" si="64"/>
        <v>110.4024024024024</v>
      </c>
      <c r="F61" s="2729">
        <f t="shared" si="64"/>
        <v>104</v>
      </c>
      <c r="G61" s="3752">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2625</v>
      </c>
      <c r="B62" s="2747">
        <v>111</v>
      </c>
      <c r="C62" s="2747">
        <v>114</v>
      </c>
      <c r="D62" s="2747">
        <f t="shared" si="29"/>
        <v>114</v>
      </c>
      <c r="E62" s="2747">
        <v>108</v>
      </c>
      <c r="F62" s="2748">
        <v>104</v>
      </c>
      <c r="G62" s="3750">
        <v>2003</v>
      </c>
      <c r="H62" s="2737">
        <v>4</v>
      </c>
      <c r="I62" s="2749"/>
      <c r="J62" s="2749"/>
      <c r="K62" s="2749"/>
      <c r="L62" s="2749"/>
      <c r="N62" s="2750"/>
      <c r="O62" s="2749"/>
      <c r="P62" s="2749"/>
      <c r="Q62" s="2749"/>
      <c r="S62" s="2750"/>
      <c r="T62" s="2749"/>
      <c r="U62" s="2749"/>
      <c r="V62" s="2749"/>
      <c r="X62" s="2741"/>
      <c r="Y62" s="2741"/>
      <c r="Z62" s="2741"/>
    </row>
    <row r="63" spans="1:26">
      <c r="A63" s="2682" t="s">
        <v>2626</v>
      </c>
      <c r="B63" s="2751">
        <f t="shared" ref="B63:C65" si="65">B64+(B$62-B$66)/4</f>
        <v>109.75</v>
      </c>
      <c r="C63" s="2751">
        <f t="shared" si="65"/>
        <v>112.25</v>
      </c>
      <c r="D63" s="2751">
        <f t="shared" si="29"/>
        <v>112.25</v>
      </c>
      <c r="E63" s="2751">
        <f t="shared" ref="E63:F65" si="66">E64+(E$62-E$66)/4</f>
        <v>107.25</v>
      </c>
      <c r="F63" s="2751">
        <f t="shared" si="66"/>
        <v>103.5</v>
      </c>
      <c r="G63" s="3751">
        <v>2003</v>
      </c>
      <c r="H63" s="2707">
        <v>3</v>
      </c>
      <c r="I63" s="2749"/>
      <c r="J63" s="2749"/>
      <c r="K63" s="2749"/>
      <c r="L63" s="2749"/>
      <c r="X63" s="2741"/>
      <c r="Y63" s="2741"/>
      <c r="Z63" s="2741"/>
    </row>
    <row r="64" spans="1:26">
      <c r="A64" s="2682" t="s">
        <v>2627</v>
      </c>
      <c r="B64" s="2751">
        <f t="shared" si="65"/>
        <v>108.5</v>
      </c>
      <c r="C64" s="2751">
        <f t="shared" si="65"/>
        <v>110.5</v>
      </c>
      <c r="D64" s="2751">
        <f t="shared" si="29"/>
        <v>110.5</v>
      </c>
      <c r="E64" s="2751">
        <f t="shared" si="66"/>
        <v>106.5</v>
      </c>
      <c r="F64" s="2751">
        <f t="shared" si="66"/>
        <v>103</v>
      </c>
      <c r="G64" s="3751">
        <v>2003</v>
      </c>
      <c r="H64" s="2687">
        <v>2</v>
      </c>
      <c r="I64" s="2749"/>
      <c r="J64" s="2749"/>
      <c r="K64" s="2749"/>
      <c r="L64" s="2749"/>
      <c r="X64" s="2741"/>
      <c r="Y64" s="2741"/>
      <c r="Z64" s="2741"/>
    </row>
    <row r="65" spans="1:26" ht="13.5" thickBot="1">
      <c r="A65" s="2682" t="s">
        <v>2628</v>
      </c>
      <c r="B65" s="2751">
        <f t="shared" si="65"/>
        <v>107.25</v>
      </c>
      <c r="C65" s="2751">
        <f t="shared" si="65"/>
        <v>108.75</v>
      </c>
      <c r="D65" s="2751">
        <f t="shared" si="29"/>
        <v>108.75</v>
      </c>
      <c r="E65" s="2751">
        <f t="shared" si="66"/>
        <v>105.75</v>
      </c>
      <c r="F65" s="2751">
        <f t="shared" si="66"/>
        <v>102.5</v>
      </c>
      <c r="G65" s="3752">
        <v>2003</v>
      </c>
      <c r="H65" s="2752">
        <v>1</v>
      </c>
      <c r="I65" s="2749"/>
      <c r="J65" s="2749"/>
      <c r="K65" s="2749"/>
      <c r="L65" s="2749"/>
      <c r="S65" s="2691"/>
      <c r="T65" s="2692"/>
      <c r="U65" s="2692"/>
      <c r="X65" s="2741"/>
      <c r="Y65" s="2741"/>
      <c r="Z65" s="2741"/>
    </row>
    <row r="66" spans="1:26" ht="13.5" thickBot="1">
      <c r="A66" s="2682" t="s">
        <v>2629</v>
      </c>
      <c r="B66" s="2753">
        <v>106</v>
      </c>
      <c r="C66" s="2753">
        <v>107</v>
      </c>
      <c r="D66" s="2753">
        <f t="shared" si="29"/>
        <v>107</v>
      </c>
      <c r="E66" s="2753">
        <v>105</v>
      </c>
      <c r="F66" s="2754">
        <v>102</v>
      </c>
      <c r="G66" s="3750">
        <v>2002</v>
      </c>
      <c r="H66" s="2702">
        <v>4</v>
      </c>
      <c r="I66" s="2749"/>
      <c r="J66" s="2749"/>
      <c r="K66" s="2749"/>
      <c r="L66" s="2749"/>
      <c r="N66" s="2750"/>
      <c r="O66" s="2749"/>
      <c r="P66" s="2749"/>
      <c r="Q66" s="2749"/>
      <c r="S66" s="2750"/>
      <c r="T66" s="2749"/>
      <c r="U66" s="2749"/>
      <c r="V66" s="2749"/>
      <c r="X66" s="2741"/>
      <c r="Y66" s="2741"/>
      <c r="Z66" s="2741"/>
    </row>
    <row r="67" spans="1:26">
      <c r="A67" s="2682" t="s">
        <v>2630</v>
      </c>
      <c r="B67" s="2751">
        <f t="shared" ref="B67:C69" si="67">B68+(B$66-B$70)/4</f>
        <v>105</v>
      </c>
      <c r="C67" s="2751">
        <f t="shared" si="67"/>
        <v>106</v>
      </c>
      <c r="D67" s="2751">
        <f t="shared" si="29"/>
        <v>106</v>
      </c>
      <c r="E67" s="2751">
        <f t="shared" ref="E67:F69" si="68">E68+(E$66-E$70)/4</f>
        <v>104.5</v>
      </c>
      <c r="F67" s="2751">
        <f t="shared" si="68"/>
        <v>101.5</v>
      </c>
      <c r="G67" s="3751">
        <v>2002</v>
      </c>
      <c r="H67" s="2707">
        <v>3</v>
      </c>
      <c r="I67" s="2749"/>
      <c r="J67" s="2749"/>
      <c r="K67" s="2749"/>
      <c r="L67" s="2749"/>
      <c r="X67" s="2741"/>
      <c r="Y67" s="2741"/>
      <c r="Z67" s="2741"/>
    </row>
    <row r="68" spans="1:26">
      <c r="A68" s="2682" t="s">
        <v>2631</v>
      </c>
      <c r="B68" s="2751">
        <f t="shared" si="67"/>
        <v>104</v>
      </c>
      <c r="C68" s="2751">
        <f t="shared" si="67"/>
        <v>105</v>
      </c>
      <c r="D68" s="2751">
        <f t="shared" si="29"/>
        <v>105</v>
      </c>
      <c r="E68" s="2751">
        <f t="shared" si="68"/>
        <v>104</v>
      </c>
      <c r="F68" s="2751">
        <f t="shared" si="68"/>
        <v>101</v>
      </c>
      <c r="G68" s="3751">
        <v>2002</v>
      </c>
      <c r="H68" s="2687">
        <v>2</v>
      </c>
      <c r="I68" s="2749"/>
      <c r="J68" s="2749"/>
      <c r="K68" s="2749"/>
      <c r="L68" s="2749"/>
      <c r="X68" s="2741"/>
      <c r="Y68" s="2741"/>
      <c r="Z68" s="2741"/>
    </row>
    <row r="69" spans="1:26" s="2718" customFormat="1" ht="13.5" thickBot="1">
      <c r="A69" s="2714" t="s">
        <v>2632</v>
      </c>
      <c r="B69" s="2755">
        <f t="shared" si="67"/>
        <v>103</v>
      </c>
      <c r="C69" s="2755">
        <f t="shared" si="67"/>
        <v>104</v>
      </c>
      <c r="D69" s="2755">
        <f t="shared" si="29"/>
        <v>104</v>
      </c>
      <c r="E69" s="2755">
        <f t="shared" si="68"/>
        <v>103.5</v>
      </c>
      <c r="F69" s="2755">
        <f t="shared" si="68"/>
        <v>100.5</v>
      </c>
      <c r="G69" s="3752">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2633</v>
      </c>
      <c r="G72" s="2765"/>
      <c r="N72" s="2765"/>
      <c r="S72" s="2765"/>
    </row>
    <row r="73" spans="1:26" s="2764" customFormat="1">
      <c r="A73" s="2764" t="s">
        <v>2634</v>
      </c>
      <c r="G73" s="2765"/>
      <c r="N73" s="2765"/>
      <c r="S73" s="2765"/>
    </row>
    <row r="74" spans="1:26" s="2764" customFormat="1">
      <c r="A74" s="2764" t="s">
        <v>2635</v>
      </c>
      <c r="G74" s="2765"/>
      <c r="I74" s="2766"/>
      <c r="J74" s="2766"/>
      <c r="K74" s="2766"/>
      <c r="L74" s="2766"/>
      <c r="N74" s="2767"/>
      <c r="O74" s="2766"/>
      <c r="P74" s="2766"/>
      <c r="Q74" s="2766"/>
      <c r="S74" s="2767"/>
      <c r="T74" s="2766"/>
      <c r="U74" s="2766"/>
      <c r="V74" s="2766"/>
    </row>
    <row r="75" spans="1:26" s="2764" customFormat="1">
      <c r="A75" s="2764" t="s">
        <v>2636</v>
      </c>
      <c r="G75" s="2765"/>
      <c r="N75" s="2765"/>
      <c r="S75" s="2765"/>
    </row>
    <row r="82" spans="7:22" ht="13.5" thickBot="1"/>
    <row r="83" spans="7:22">
      <c r="G83" s="2690"/>
      <c r="S83" s="2768" t="s">
        <v>2637</v>
      </c>
      <c r="T83" s="2769" t="s">
        <v>2638</v>
      </c>
      <c r="U83" s="2769" t="s">
        <v>2639</v>
      </c>
      <c r="V83" s="2769" t="s">
        <v>2640</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c r="D1" s="3159"/>
      <c r="E1" s="2413" t="s">
        <v>2374</v>
      </c>
      <c r="F1" s="2414" t="b">
        <f>J53</f>
        <v>0</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#DIV/0!</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2459</v>
      </c>
      <c r="C5" s="55">
        <f ca="1">C6+C10+C12</f>
        <v>0</v>
      </c>
      <c r="D5" s="2522" t="s">
        <v>2462</v>
      </c>
      <c r="E5" s="2516"/>
      <c r="F5" s="2517"/>
      <c r="G5" s="1593"/>
      <c r="H5" s="781">
        <v>1</v>
      </c>
      <c r="I5" s="782" t="s">
        <v>2459</v>
      </c>
      <c r="J5" s="55">
        <f ca="1">J6+J10+J12</f>
        <v>0</v>
      </c>
      <c r="K5" s="2522" t="s">
        <v>2462</v>
      </c>
      <c r="L5" s="2516"/>
      <c r="M5" s="2517"/>
    </row>
    <row r="6" spans="1:33" ht="18" customHeight="1">
      <c r="A6" s="1832" t="s">
        <v>1824</v>
      </c>
      <c r="B6" s="3744" t="s">
        <v>2464</v>
      </c>
      <c r="C6" s="783">
        <f ca="1">ROUND(F6*F8*F7*(1-F9)/10000,0)</f>
        <v>0</v>
      </c>
      <c r="D6" s="2523" t="s">
        <v>2463</v>
      </c>
      <c r="E6" s="784" t="s">
        <v>1738</v>
      </c>
      <c r="F6" s="785">
        <f ca="1">INDIRECT("'数据-取费表'!u"&amp;$G$1)</f>
        <v>0</v>
      </c>
      <c r="G6" s="1593"/>
      <c r="H6" s="2530" t="s">
        <v>2470</v>
      </c>
      <c r="I6" s="3744" t="s">
        <v>2464</v>
      </c>
      <c r="J6" s="783">
        <f ca="1">ROUND(M6*M8*M7*(1-M9)/10000,0)</f>
        <v>0</v>
      </c>
      <c r="K6" s="341" t="s">
        <v>1737</v>
      </c>
      <c r="L6" s="784" t="s">
        <v>1738</v>
      </c>
      <c r="M6" s="785">
        <f ca="1">INDIRECT("'数据-取费表'!z"&amp;$G$1)</f>
        <v>0</v>
      </c>
    </row>
    <row r="7" spans="1:33" ht="18" customHeight="1">
      <c r="A7" s="2526"/>
      <c r="B7" s="3745"/>
      <c r="C7" s="788"/>
      <c r="D7" s="789"/>
      <c r="E7" s="784" t="s">
        <v>1739</v>
      </c>
      <c r="F7" s="785">
        <f ca="1">IF(INDIRECT("'数据-取费表'!ah"&amp;$G$1)="",INDIRECT("'数据-取费表'!k"&amp;$G$1),INDIRECT("'数据-取费表'!ah"&amp;$G$1))</f>
        <v>0</v>
      </c>
      <c r="G7" s="1593"/>
      <c r="H7" s="2515"/>
      <c r="I7" s="3745"/>
      <c r="J7" s="788"/>
      <c r="K7" s="789"/>
      <c r="L7" s="784" t="s">
        <v>1739</v>
      </c>
      <c r="M7" s="785">
        <f ca="1">F7</f>
        <v>0</v>
      </c>
    </row>
    <row r="8" spans="1:33" ht="18" customHeight="1">
      <c r="A8" s="2519"/>
      <c r="B8" s="3746"/>
      <c r="C8" s="788"/>
      <c r="D8" s="789"/>
      <c r="E8" s="784" t="s">
        <v>1740</v>
      </c>
      <c r="F8" s="785">
        <f ca="1">INDIRECT("'数据-取费表'!ai"&amp;$G$1)</f>
        <v>0</v>
      </c>
      <c r="G8" s="1593"/>
      <c r="H8" s="2515"/>
      <c r="I8" s="3746"/>
      <c r="J8" s="788"/>
      <c r="K8" s="789"/>
      <c r="L8" s="784" t="s">
        <v>1740</v>
      </c>
      <c r="M8" s="785">
        <f ca="1">INDIRECT("'数据-取费表'!ai"&amp;$G$1)</f>
        <v>0</v>
      </c>
    </row>
    <row r="9" spans="1:33" ht="18" customHeight="1">
      <c r="A9" s="786"/>
      <c r="B9" s="3747"/>
      <c r="C9" s="788"/>
      <c r="D9" s="789"/>
      <c r="E9" s="784" t="s">
        <v>1741</v>
      </c>
      <c r="F9" s="794">
        <f ca="1">INDIRECT("'数据-取费表'!w"&amp;$G$1)</f>
        <v>0</v>
      </c>
      <c r="G9" s="1593"/>
      <c r="H9" s="2531"/>
      <c r="I9" s="3746"/>
      <c r="J9" s="788"/>
      <c r="K9" s="789"/>
      <c r="L9" s="795" t="s">
        <v>1741</v>
      </c>
      <c r="M9" s="796">
        <f ca="1">INDIRECT("'数据-取费表'!ab"&amp;$G$1)</f>
        <v>0</v>
      </c>
    </row>
    <row r="10" spans="1:33" ht="18" customHeight="1">
      <c r="A10" s="1832" t="s">
        <v>2468</v>
      </c>
      <c r="B10" s="2520" t="s">
        <v>2460</v>
      </c>
      <c r="C10" s="799">
        <f ca="1">ROUND(IF(F10="押一",F6*F8*F7/12*F11,IF(F10="押二",F6*F8*F7/12*2*F11,IF(F10="押三",F6*F8*F7/12*3*F11,C11*F11)))/10000,0)</f>
        <v>0</v>
      </c>
      <c r="D10" s="2527" t="s">
        <v>2467</v>
      </c>
      <c r="E10" s="2524" t="s">
        <v>2465</v>
      </c>
      <c r="F10" s="2647"/>
      <c r="G10" s="1593"/>
      <c r="H10" s="2587" t="s">
        <v>2471</v>
      </c>
      <c r="I10" s="2592" t="s">
        <v>2460</v>
      </c>
      <c r="J10" s="783">
        <f ca="1">ROUND(IF(M10="押一",M6*M8*M7/12*M11,IF(M10="押二",M6*M8*M7/12*2*M11,IF(M10="押三",M6*M8*M7/12*3*M11,J11*M11)))/10000,0)</f>
        <v>0</v>
      </c>
      <c r="K10" s="2527" t="s">
        <v>2467</v>
      </c>
      <c r="L10" s="2524" t="s">
        <v>2465</v>
      </c>
      <c r="M10" s="2647"/>
    </row>
    <row r="11" spans="1:33" ht="18" customHeight="1">
      <c r="A11" s="790"/>
      <c r="B11" s="2521" t="s">
        <v>2575</v>
      </c>
      <c r="C11" s="2525"/>
      <c r="D11" s="789"/>
      <c r="E11" s="2524" t="s">
        <v>2466</v>
      </c>
      <c r="F11" s="796">
        <f ca="1">'数据-取费表'!B39</f>
        <v>1.4999999999999999E-2</v>
      </c>
      <c r="G11" s="1593"/>
      <c r="H11" s="2588"/>
      <c r="I11" s="2521" t="s">
        <v>2575</v>
      </c>
      <c r="J11" s="2525"/>
      <c r="K11" s="2589"/>
      <c r="L11" s="2524" t="s">
        <v>2466</v>
      </c>
      <c r="M11" s="2518">
        <f ca="1">'数据-取费表'!B39</f>
        <v>1.4999999999999999E-2</v>
      </c>
    </row>
    <row r="12" spans="1:33" ht="18" customHeight="1" thickBot="1">
      <c r="A12" s="2563" t="s">
        <v>2469</v>
      </c>
      <c r="B12" s="2564" t="s">
        <v>2461</v>
      </c>
      <c r="C12" s="2565"/>
      <c r="D12" s="2566"/>
      <c r="E12" s="2567"/>
      <c r="F12" s="2568"/>
      <c r="G12" s="1593"/>
      <c r="H12" s="2577" t="s">
        <v>2472</v>
      </c>
      <c r="I12" s="2590" t="s">
        <v>2461</v>
      </c>
      <c r="J12" s="2591"/>
      <c r="K12" s="2566"/>
      <c r="L12" s="2567"/>
      <c r="M12" s="2580"/>
    </row>
    <row r="13" spans="1:33" ht="18" customHeight="1" thickTop="1">
      <c r="A13" s="1831">
        <v>2</v>
      </c>
      <c r="B13" s="1829" t="s">
        <v>1742</v>
      </c>
      <c r="C13" s="792">
        <f ca="1">ROUND(C29*F13,0)</f>
        <v>0</v>
      </c>
      <c r="D13" s="1836" t="s">
        <v>2297</v>
      </c>
      <c r="E13" s="1836" t="s">
        <v>1744</v>
      </c>
      <c r="F13" s="2562">
        <f ca="1">INDIRECT("'数据-取费表'!y"&amp;$G$1)</f>
        <v>0</v>
      </c>
      <c r="G13" s="1593"/>
      <c r="H13" s="1831">
        <v>2</v>
      </c>
      <c r="I13" s="1829" t="s">
        <v>1742</v>
      </c>
      <c r="J13" s="1821">
        <f ca="1">ROUND(J14*J15,0)</f>
        <v>0</v>
      </c>
      <c r="K13" s="1823" t="s">
        <v>1743</v>
      </c>
      <c r="L13" s="2578"/>
      <c r="M13" s="2579"/>
    </row>
    <row r="14" spans="1:33" ht="18" customHeight="1">
      <c r="A14" s="1649" t="s">
        <v>1884</v>
      </c>
      <c r="B14" s="784" t="s">
        <v>644</v>
      </c>
      <c r="C14" s="804">
        <f ca="1">INDIRECT("'数据-取费表'!m"&amp;$G$1)+INDIRECT("'数据-取费表'!t"&amp;$G$1)</f>
        <v>0</v>
      </c>
      <c r="D14" s="1981" t="s">
        <v>1745</v>
      </c>
      <c r="E14" s="1982"/>
      <c r="F14" s="805"/>
      <c r="G14" s="1593"/>
      <c r="H14" s="1650" t="s">
        <v>1830</v>
      </c>
      <c r="I14" s="2233" t="s">
        <v>2828</v>
      </c>
      <c r="J14" s="53">
        <f ca="1">C29</f>
        <v>0</v>
      </c>
      <c r="K14" s="26"/>
      <c r="L14" s="801"/>
      <c r="M14" s="802"/>
    </row>
    <row r="15" spans="1:33" s="2066" customFormat="1" ht="18" customHeight="1" thickBot="1">
      <c r="A15" s="1649" t="s">
        <v>1885</v>
      </c>
      <c r="B15" s="784" t="s">
        <v>646</v>
      </c>
      <c r="C15" s="53">
        <f ca="1">ROUND(C14*F15,0)</f>
        <v>0</v>
      </c>
      <c r="D15" s="806" t="s">
        <v>1746</v>
      </c>
      <c r="E15" s="806" t="s">
        <v>1747</v>
      </c>
      <c r="F15" s="807">
        <f>'数据-取费表'!B33</f>
        <v>0.03</v>
      </c>
      <c r="G15" s="1594"/>
      <c r="H15" s="2577" t="s">
        <v>1889</v>
      </c>
      <c r="I15" s="2572" t="s">
        <v>1744</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0</v>
      </c>
      <c r="K16" s="1823" t="s">
        <v>1750</v>
      </c>
      <c r="L16" s="2512"/>
      <c r="M16" s="2517"/>
    </row>
    <row r="17" spans="1:33" s="2066" customFormat="1" ht="18" customHeight="1">
      <c r="A17" s="1649" t="s">
        <v>1887</v>
      </c>
      <c r="B17" s="784" t="s">
        <v>652</v>
      </c>
      <c r="C17" s="53">
        <f ca="1">ROUND(F17*(F43+INDIRECT("'数据-取费表'!S"&amp;$G$1))/10000,0)</f>
        <v>0</v>
      </c>
      <c r="D17" s="784" t="s">
        <v>1751</v>
      </c>
      <c r="E17" s="784" t="s">
        <v>1752</v>
      </c>
      <c r="F17" s="56">
        <f>'数据-取费表'!B35</f>
        <v>200</v>
      </c>
      <c r="G17" s="1594"/>
      <c r="H17" s="1650" t="s">
        <v>1830</v>
      </c>
      <c r="I17" s="784" t="s">
        <v>655</v>
      </c>
      <c r="J17" s="53">
        <f ca="1">ROUND(IF(项目基本情况!B11="自然人",J5*M17,J18+J19+J20),0)</f>
        <v>0</v>
      </c>
      <c r="K17" s="2511" t="s">
        <v>1753</v>
      </c>
      <c r="L17" s="2510" t="s">
        <v>1754</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f ca="1">ROUND(C14*F18,0)</f>
        <v>0</v>
      </c>
      <c r="D18" s="784" t="s">
        <v>1746</v>
      </c>
      <c r="E18" s="784" t="s">
        <v>1747</v>
      </c>
      <c r="F18" s="809">
        <f>'数据-取费表'!B36</f>
        <v>1.4999999999999999E-2</v>
      </c>
      <c r="G18" s="1594"/>
      <c r="H18" s="1649" t="s">
        <v>1884</v>
      </c>
      <c r="I18" s="784" t="s">
        <v>1755</v>
      </c>
      <c r="J18" s="53">
        <f ca="1">ROUND(J5*M18/1.05,1)</f>
        <v>0</v>
      </c>
      <c r="K18" s="2510" t="s">
        <v>1756</v>
      </c>
      <c r="L18" s="784" t="s">
        <v>1747</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661</v>
      </c>
      <c r="C19" s="53">
        <f ca="1">SUM(C14:C18)</f>
        <v>0</v>
      </c>
      <c r="D19" s="261" t="s">
        <v>1757</v>
      </c>
      <c r="E19" s="1984"/>
      <c r="F19" s="56"/>
      <c r="G19" s="1593"/>
      <c r="H19" s="1649" t="s">
        <v>1885</v>
      </c>
      <c r="I19" s="784" t="s">
        <v>1758</v>
      </c>
      <c r="J19" s="53">
        <f ca="1">IF(K19="按租金收入计税",ROUND(J5*M19,1),ROUND(C29*F33*0.7,1))</f>
        <v>0</v>
      </c>
      <c r="K19" s="811" t="s">
        <v>664</v>
      </c>
      <c r="L19" s="784" t="s">
        <v>1747</v>
      </c>
      <c r="M19" s="809">
        <f>IF(K19="按租金收入计税",'数据-取费表'!B51,'数据-取费表'!B50)</f>
        <v>1.2E-2</v>
      </c>
    </row>
    <row r="20" spans="1:33" s="2066" customFormat="1" ht="18" customHeight="1">
      <c r="A20" s="1650" t="s">
        <v>1889</v>
      </c>
      <c r="B20" s="784" t="s">
        <v>665</v>
      </c>
      <c r="C20" s="53">
        <f ca="1">ROUND(C19*F20,0)</f>
        <v>0</v>
      </c>
      <c r="D20" s="812" t="s">
        <v>1759</v>
      </c>
      <c r="E20" s="784" t="s">
        <v>1747</v>
      </c>
      <c r="F20" s="809">
        <f>'数据-取费表'!B37</f>
        <v>0.02</v>
      </c>
      <c r="G20" s="1594"/>
      <c r="H20" s="1652" t="s">
        <v>1880</v>
      </c>
      <c r="I20" s="341" t="s">
        <v>1760</v>
      </c>
      <c r="J20" s="54">
        <f ca="1">ROUND(M20*M21/10000,0)</f>
        <v>0</v>
      </c>
      <c r="K20" s="814" t="s">
        <v>1761</v>
      </c>
      <c r="L20" s="784" t="s">
        <v>1762</v>
      </c>
      <c r="M20" s="640">
        <f>'数据-取费表'!B52</f>
        <v>18</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2298</v>
      </c>
      <c r="E21" s="784" t="s">
        <v>1765</v>
      </c>
      <c r="F21" s="809">
        <f>'数据-取费表'!B38</f>
        <v>0.02</v>
      </c>
      <c r="G21" s="1594"/>
      <c r="H21" s="2532"/>
      <c r="I21" s="793"/>
      <c r="J21" s="69"/>
      <c r="K21" s="816"/>
      <c r="L21" s="784" t="s">
        <v>1766</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98" t="str">
        <f>IF(F23&lt;=1,"单利计息。","复利计息。")&amp;"建造成本、管理费用、销售费用产生的利息。"</f>
        <v>复利计息。建造成本、管理费用、销售费用产生的利息。</v>
      </c>
      <c r="E22" s="1984"/>
      <c r="F22" s="56"/>
      <c r="G22" s="1593"/>
      <c r="H22" s="1650" t="s">
        <v>1889</v>
      </c>
      <c r="I22" s="784" t="s">
        <v>1768</v>
      </c>
      <c r="J22" s="53">
        <f ca="1">ROUND(J14*M22,0)</f>
        <v>0</v>
      </c>
      <c r="K22" s="2510" t="s">
        <v>1769</v>
      </c>
      <c r="L22" s="784" t="s">
        <v>1747</v>
      </c>
      <c r="M22" s="817">
        <f ca="1">INDIRECT("'数据-取费表'!Ak"&amp;$G$1)</f>
        <v>0</v>
      </c>
    </row>
    <row r="23" spans="1:33" s="2066" customFormat="1" ht="18" customHeight="1">
      <c r="A23" s="1649" t="s">
        <v>1831</v>
      </c>
      <c r="B23" s="784" t="s">
        <v>2537</v>
      </c>
      <c r="C23" s="53">
        <f ca="1">ROUND(IF('数据-取费表'!B22&lt;=1,(C19+C20)*F24*F23/2,(C19+C20)*(POWER((1+F24),F23/2)-1)),0)</f>
        <v>0</v>
      </c>
      <c r="D23" s="2597" t="str">
        <f>IF(F23&lt;=1,"(建造成本+管理费用)×利率×(建设周期÷2)","(建造成本+管理费用)×((1+利率)^(建设周期÷2)-1)")</f>
        <v>(建造成本+管理费用)×((1+利率)^(建设周期÷2)-1)</v>
      </c>
      <c r="E23" s="784" t="s">
        <v>1770</v>
      </c>
      <c r="F23" s="640">
        <f>'数据-取费表'!B20</f>
        <v>2</v>
      </c>
      <c r="G23" s="1594"/>
      <c r="H23" s="1650" t="s">
        <v>1890</v>
      </c>
      <c r="I23" s="784" t="s">
        <v>678</v>
      </c>
      <c r="J23" s="53">
        <f ca="1">ROUND(J13*M23,0)</f>
        <v>0</v>
      </c>
      <c r="K23" s="2510" t="s">
        <v>1771</v>
      </c>
      <c r="L23" s="784" t="s">
        <v>1747</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1E-3</v>
      </c>
      <c r="D24" s="2597" t="str">
        <f>IF(F23&lt;=1,"销售费用×利率×(建设周期÷2)","销售费用×((1+利率)^(建设周期÷2)-1)")</f>
        <v>销售费用×((1+利率)^(建设周期÷2)-1)</v>
      </c>
      <c r="E24" s="784" t="s">
        <v>1773</v>
      </c>
      <c r="F24" s="819">
        <f ca="1">'数据-取费表'!B40</f>
        <v>4.7500000000000001E-2</v>
      </c>
      <c r="G24" s="1594"/>
      <c r="H24" s="2577" t="s">
        <v>1891</v>
      </c>
      <c r="I24" s="2572" t="s">
        <v>665</v>
      </c>
      <c r="J24" s="2570">
        <f ca="1">ROUND(J5*M24,0)</f>
        <v>0</v>
      </c>
      <c r="K24" s="2571" t="s">
        <v>1774</v>
      </c>
      <c r="L24" s="2572" t="s">
        <v>1747</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1775</v>
      </c>
      <c r="E25" s="1984"/>
      <c r="F25" s="56"/>
      <c r="G25" s="1593"/>
      <c r="H25" s="1831" t="s">
        <v>1776</v>
      </c>
      <c r="I25" s="3037" t="s">
        <v>2824</v>
      </c>
      <c r="J25" s="792">
        <f ca="1">J5-J16</f>
        <v>0</v>
      </c>
      <c r="K25" s="2574" t="s">
        <v>1777</v>
      </c>
      <c r="L25" s="2575"/>
      <c r="M25" s="2576"/>
    </row>
    <row r="26" spans="1:33" ht="18" customHeight="1">
      <c r="A26" s="1649" t="s">
        <v>1831</v>
      </c>
      <c r="B26" s="784" t="s">
        <v>2438</v>
      </c>
      <c r="C26" s="53">
        <f ca="1">ROUND((C19+C20)*F26,0)</f>
        <v>0</v>
      </c>
      <c r="D26" s="812" t="s">
        <v>1778</v>
      </c>
      <c r="E26" s="795" t="s">
        <v>1779</v>
      </c>
      <c r="F26" s="794">
        <f ca="1">INDIRECT("'数据-取费表'!q"&amp;$G$1)</f>
        <v>0</v>
      </c>
      <c r="G26" s="1593"/>
      <c r="H26" s="2528" t="s">
        <v>1780</v>
      </c>
      <c r="I26" s="2234" t="s">
        <v>2829</v>
      </c>
      <c r="J26" s="783">
        <f ca="1">IF(J5&lt;&gt;0,ROUND(J25*(1-((1+M28)/(1+M26))^M27)/(M26-M28),0),0)</f>
        <v>0</v>
      </c>
      <c r="K26" s="814" t="s">
        <v>1781</v>
      </c>
      <c r="L26" s="784" t="s">
        <v>2419</v>
      </c>
      <c r="M26" s="794">
        <f ca="1">INDIRECT("'数据-取费表'!I"&amp;$G$1)</f>
        <v>0</v>
      </c>
    </row>
    <row r="27" spans="1:33" ht="18" customHeight="1">
      <c r="A27" s="1649" t="s">
        <v>1832</v>
      </c>
      <c r="B27" s="784" t="s">
        <v>685</v>
      </c>
      <c r="C27" s="53">
        <f ca="1">ROUND(F21*F26,4)</f>
        <v>0</v>
      </c>
      <c r="D27" s="812" t="s">
        <v>1782</v>
      </c>
      <c r="E27" s="806"/>
      <c r="F27" s="807"/>
      <c r="G27" s="1593"/>
      <c r="H27" s="2529"/>
      <c r="I27" s="787"/>
      <c r="J27" s="788"/>
      <c r="K27" s="821" t="s">
        <v>1783</v>
      </c>
      <c r="L27" s="784" t="s">
        <v>1784</v>
      </c>
      <c r="M27" s="822">
        <f ca="1">INDIRECT("'数据-取费表'!ag"&amp;$G$1)</f>
        <v>0</v>
      </c>
    </row>
    <row r="28" spans="1:33" s="2066" customFormat="1" ht="18" customHeight="1">
      <c r="A28" s="1651" t="s">
        <v>1841</v>
      </c>
      <c r="B28" s="784" t="s">
        <v>686</v>
      </c>
      <c r="C28" s="53">
        <f>ROUND(F28/(1+'数据-取费表'!C42),4)</f>
        <v>5.33E-2</v>
      </c>
      <c r="D28" s="812" t="s">
        <v>2299</v>
      </c>
      <c r="E28" s="784" t="s">
        <v>1785</v>
      </c>
      <c r="F28" s="809">
        <f>'数据-取费表'!B41</f>
        <v>5.6000000000000001E-2</v>
      </c>
      <c r="G28" s="1594"/>
      <c r="H28" s="1831"/>
      <c r="I28" s="791"/>
      <c r="J28" s="792"/>
      <c r="K28" s="816"/>
      <c r="L28" s="784" t="s">
        <v>1786</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1892</v>
      </c>
      <c r="B29" s="2567" t="s">
        <v>2300</v>
      </c>
      <c r="C29" s="2570">
        <f ca="1">ROUND((C19+C20+C23+C26)/(1-F21-C24-C27-C28),0)</f>
        <v>0</v>
      </c>
      <c r="D29" s="2571"/>
      <c r="E29" s="2572"/>
      <c r="F29" s="2573"/>
      <c r="G29" s="1594"/>
      <c r="H29" s="823" t="s">
        <v>1787</v>
      </c>
      <c r="I29" s="824" t="s">
        <v>1788</v>
      </c>
      <c r="J29" s="825">
        <f ca="1">ROUND(J26/(1+F40)^F41,0)</f>
        <v>0</v>
      </c>
      <c r="K29" s="826" t="s">
        <v>1789</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f ca="1">ROUND(C31+C36+C37+C38,0)</f>
        <v>0</v>
      </c>
      <c r="D30" s="1823" t="s">
        <v>1791</v>
      </c>
      <c r="E30" s="2512"/>
      <c r="F30" s="2517"/>
      <c r="G30" s="2064"/>
      <c r="H30" s="2067"/>
      <c r="I30" s="2068"/>
      <c r="J30" s="2069"/>
      <c r="K30" s="2070"/>
      <c r="L30" s="2071"/>
      <c r="M30" s="2072"/>
    </row>
    <row r="31" spans="1:33" ht="18" customHeight="1">
      <c r="A31" s="1650" t="s">
        <v>1830</v>
      </c>
      <c r="B31" s="784" t="s">
        <v>655</v>
      </c>
      <c r="C31" s="53">
        <f ca="1">ROUND(IF(项目基本情况!B11="自然人",C5*F31,C32+C33+C34),1)</f>
        <v>0</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f ca="1">ROUND(C5*F32/1.05,1)</f>
        <v>0</v>
      </c>
      <c r="D32" s="1979" t="s">
        <v>1795</v>
      </c>
      <c r="E32" s="784" t="s">
        <v>1796</v>
      </c>
      <c r="F32" s="809">
        <f>'数据-取费表'!B41</f>
        <v>5.6000000000000001E-2</v>
      </c>
      <c r="G32" s="2064"/>
      <c r="H32" s="2073"/>
      <c r="I32" s="2074"/>
      <c r="J32" s="2075"/>
      <c r="K32" s="2076"/>
      <c r="L32" s="2077"/>
      <c r="M32" s="2078"/>
    </row>
    <row r="33" spans="1:18" ht="18" customHeight="1">
      <c r="A33" s="1649"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f ca="1">ROUND(F34*F35/10000,1)</f>
        <v>0</v>
      </c>
      <c r="D34" s="814" t="s">
        <v>1799</v>
      </c>
      <c r="E34" s="784" t="s">
        <v>1800</v>
      </c>
      <c r="F34" s="640">
        <f>'数据-取费表'!B52</f>
        <v>18</v>
      </c>
      <c r="G34" s="2064"/>
      <c r="H34" s="2067"/>
      <c r="I34" s="835" t="s">
        <v>1813</v>
      </c>
      <c r="J34" s="836"/>
      <c r="K34" s="2082"/>
      <c r="L34" s="2081"/>
      <c r="M34" s="2081"/>
    </row>
    <row r="35" spans="1:18" ht="18" customHeight="1">
      <c r="A35" s="815"/>
      <c r="B35" s="793"/>
      <c r="C35" s="69"/>
      <c r="D35" s="816"/>
      <c r="E35" s="784" t="s">
        <v>1801</v>
      </c>
      <c r="F35" s="785">
        <f ca="1">INDIRECT("'数据-取费表'!r"&amp;$G$1)</f>
        <v>0</v>
      </c>
      <c r="G35" s="2064"/>
      <c r="H35" s="2067"/>
      <c r="I35" s="837" t="s">
        <v>1814</v>
      </c>
      <c r="J35" s="838">
        <f ca="1">ROUND(C13*J36,0)</f>
        <v>0</v>
      </c>
      <c r="K35" s="2080"/>
      <c r="L35" s="2079"/>
      <c r="M35" s="2079"/>
    </row>
    <row r="36" spans="1:18" ht="18" customHeight="1">
      <c r="A36" s="1650" t="s">
        <v>1889</v>
      </c>
      <c r="B36" s="784" t="s">
        <v>1802</v>
      </c>
      <c r="C36" s="53">
        <f ca="1">ROUND(C29*F36,1)</f>
        <v>0</v>
      </c>
      <c r="D36" s="1979" t="s">
        <v>1803</v>
      </c>
      <c r="E36" s="784" t="s">
        <v>1796</v>
      </c>
      <c r="F36" s="817">
        <f ca="1">INDIRECT("'数据-取费表'!Ak"&amp;$G$1)</f>
        <v>0</v>
      </c>
      <c r="G36" s="2064"/>
      <c r="H36" s="2079"/>
      <c r="I36" s="839" t="s">
        <v>1815</v>
      </c>
      <c r="J36" s="840">
        <f ca="1">INDIRECT("'数据-取费表'!j"&amp;$G$1)</f>
        <v>0</v>
      </c>
      <c r="K36" s="2084"/>
      <c r="L36" s="2079"/>
      <c r="M36" s="2079"/>
    </row>
    <row r="37" spans="1:18" ht="18" customHeight="1">
      <c r="A37" s="1650" t="s">
        <v>1890</v>
      </c>
      <c r="B37" s="784" t="s">
        <v>678</v>
      </c>
      <c r="C37" s="53">
        <f ca="1">ROUND(C13*F37,1)</f>
        <v>0</v>
      </c>
      <c r="D37" s="1979" t="s">
        <v>1804</v>
      </c>
      <c r="E37" s="784" t="s">
        <v>1796</v>
      </c>
      <c r="F37" s="818">
        <f ca="1">INDIRECT("'数据-取费表'!Al"&amp;$G$1)</f>
        <v>0</v>
      </c>
      <c r="G37" s="2064"/>
      <c r="H37" s="2079"/>
      <c r="I37" s="841" t="s">
        <v>1816</v>
      </c>
      <c r="J37" s="842"/>
      <c r="K37" s="2084"/>
      <c r="L37" s="2079"/>
      <c r="M37" s="2079"/>
    </row>
    <row r="38" spans="1:18" ht="18" customHeight="1" thickBot="1">
      <c r="A38" s="2577" t="s">
        <v>1891</v>
      </c>
      <c r="B38" s="2572" t="s">
        <v>665</v>
      </c>
      <c r="C38" s="2570">
        <f ca="1">ROUND(C5*F38,1)</f>
        <v>0</v>
      </c>
      <c r="D38" s="2571" t="s">
        <v>1805</v>
      </c>
      <c r="E38" s="2572" t="s">
        <v>1796</v>
      </c>
      <c r="F38" s="2568">
        <f ca="1">INDIRECT("'数据-取费表'!Am"&amp;$G$1)</f>
        <v>0</v>
      </c>
      <c r="G38" s="2064"/>
      <c r="H38" s="2079"/>
      <c r="I38" s="843" t="s">
        <v>1817</v>
      </c>
      <c r="J38" s="844"/>
      <c r="K38" s="2085"/>
      <c r="L38" s="2079"/>
      <c r="M38" s="2079"/>
    </row>
    <row r="39" spans="1:18" ht="24.6" customHeight="1" thickTop="1">
      <c r="A39" s="1831" t="s">
        <v>1894</v>
      </c>
      <c r="B39" s="3037" t="s">
        <v>2824</v>
      </c>
      <c r="C39" s="792">
        <f ca="1">C5-C30</f>
        <v>0</v>
      </c>
      <c r="D39" s="2574" t="s">
        <v>1806</v>
      </c>
      <c r="E39" s="2575"/>
      <c r="F39" s="2576"/>
      <c r="G39" s="2064"/>
      <c r="H39" s="2079"/>
      <c r="I39" s="837" t="s">
        <v>1818</v>
      </c>
      <c r="J39" s="845" t="e">
        <f ca="1">ROUND(J35/C39,3)</f>
        <v>#DIV/0!</v>
      </c>
      <c r="K39" s="2085"/>
      <c r="L39" s="2079"/>
      <c r="M39" s="2079"/>
    </row>
    <row r="40" spans="1:18" ht="18" customHeight="1">
      <c r="A40" s="781" t="s">
        <v>1895</v>
      </c>
      <c r="B40" s="2234" t="s">
        <v>2301</v>
      </c>
      <c r="C40" s="783" t="e">
        <f ca="1">ROUND(C39*(1-((1+F42)/(1+F40))^F41)/(F40-F42),0)</f>
        <v>#DIV/0!</v>
      </c>
      <c r="D40" s="814" t="s">
        <v>1807</v>
      </c>
      <c r="E40" s="784" t="s">
        <v>2419</v>
      </c>
      <c r="F40" s="794">
        <f ca="1">INDIRECT("'数据-取费表'!I"&amp;$G$1)</f>
        <v>0</v>
      </c>
      <c r="G40" s="2064"/>
      <c r="H40" s="2064"/>
      <c r="I40" s="837" t="s">
        <v>1819</v>
      </c>
      <c r="J40" s="845" t="e">
        <f ca="1">1-J39</f>
        <v>#DIV/0!</v>
      </c>
      <c r="K40" s="2085"/>
      <c r="L40" s="2064"/>
      <c r="M40" s="2064"/>
    </row>
    <row r="41" spans="1:18" ht="18" customHeight="1">
      <c r="A41" s="786"/>
      <c r="B41" s="787"/>
      <c r="C41" s="788"/>
      <c r="D41" s="821" t="s">
        <v>1808</v>
      </c>
      <c r="E41" s="784" t="s">
        <v>2968</v>
      </c>
      <c r="F41" s="822">
        <f ca="1">IF(INDIRECT("'数据-取费表'!af"&amp;$G$1)=0,INDIRECT("'数据-取费表'!ae"&amp;$G$1),INDIRECT("'数据-取费表'!af"&amp;$G$1))</f>
        <v>0</v>
      </c>
      <c r="G41" s="2064"/>
      <c r="H41" s="1990"/>
      <c r="I41" s="843" t="s">
        <v>1820</v>
      </c>
      <c r="J41" s="846"/>
      <c r="K41" s="2084"/>
      <c r="L41" s="1990"/>
      <c r="M41" s="1990"/>
    </row>
    <row r="42" spans="1:18" ht="18" customHeight="1">
      <c r="A42" s="790"/>
      <c r="B42" s="791"/>
      <c r="C42" s="792"/>
      <c r="D42" s="816"/>
      <c r="E42" s="784" t="s">
        <v>1809</v>
      </c>
      <c r="F42" s="794">
        <f ca="1">INDIRECT("'数据-取费表'!v"&amp;$G$1)</f>
        <v>0</v>
      </c>
      <c r="G42" s="2064"/>
      <c r="H42" s="1990"/>
      <c r="I42" s="847" t="s">
        <v>1821</v>
      </c>
      <c r="J42" s="845" t="e">
        <f ca="1">ROUND(C13/C40,3)</f>
        <v>#DIV/0!</v>
      </c>
      <c r="K42" s="2084"/>
      <c r="L42" s="1990"/>
      <c r="M42" s="1990"/>
    </row>
    <row r="43" spans="1:18" ht="18" customHeight="1" thickBot="1">
      <c r="A43" s="823" t="s">
        <v>1787</v>
      </c>
      <c r="B43" s="824" t="s">
        <v>1810</v>
      </c>
      <c r="C43" s="825" t="e">
        <f ca="1">ROUND(C40*10000/F43,0)</f>
        <v>#DIV/0!</v>
      </c>
      <c r="D43" s="826" t="s">
        <v>1811</v>
      </c>
      <c r="E43" s="827" t="s">
        <v>1812</v>
      </c>
      <c r="F43" s="828">
        <f ca="1">INDIRECT("'数据-取费表'!k"&amp;$G$1)</f>
        <v>0</v>
      </c>
      <c r="G43" s="2064"/>
      <c r="H43" s="1990"/>
      <c r="I43" s="847" t="s">
        <v>1822</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600" t="e">
        <f ca="1">C67-C40</f>
        <v>#DIV/0!</v>
      </c>
      <c r="D46" s="2087"/>
      <c r="E46" s="2087"/>
      <c r="F46" s="2087"/>
      <c r="I46" s="2380" t="s">
        <v>2342</v>
      </c>
      <c r="J46" s="2381"/>
      <c r="K46" s="2382"/>
      <c r="L46" s="2383" t="str">
        <f ca="1">IF(M47="住宅",0,IF(L48&gt;J51,L60,J60))</f>
        <v>0</v>
      </c>
      <c r="O46" s="2420" t="s">
        <v>2410</v>
      </c>
      <c r="P46" s="1593"/>
      <c r="Q46" s="1605"/>
      <c r="R46" s="1593"/>
    </row>
    <row r="47" spans="1:18" s="2061" customFormat="1" ht="18" customHeight="1" thickBot="1">
      <c r="A47" s="2374">
        <v>1</v>
      </c>
      <c r="B47" s="2375" t="s">
        <v>634</v>
      </c>
      <c r="C47" s="2600">
        <f ca="1">C48+C52+C54</f>
        <v>0</v>
      </c>
      <c r="D47" s="2087"/>
      <c r="E47" s="2087"/>
      <c r="F47" s="2087"/>
      <c r="I47" s="2384" t="s">
        <v>2343</v>
      </c>
      <c r="J47" s="2389"/>
      <c r="K47" s="2390" t="s">
        <v>2349</v>
      </c>
      <c r="L47" s="2391">
        <f ca="1">INDIRECT("'数据-取费表'!d"&amp;$G$1)</f>
        <v>0</v>
      </c>
      <c r="M47" s="1605" t="str">
        <f>IF(ISNUMBER(FIND("住宅",C1)),"住宅","非住宅")</f>
        <v>非住宅</v>
      </c>
      <c r="O47" s="2421" t="s">
        <v>2375</v>
      </c>
      <c r="P47" s="2422" t="s">
        <v>2376</v>
      </c>
      <c r="Q47" s="2423" t="s">
        <v>2377</v>
      </c>
      <c r="R47" s="2422" t="s">
        <v>2378</v>
      </c>
    </row>
    <row r="48" spans="1:18" s="2061" customFormat="1" ht="18" customHeight="1" thickBot="1">
      <c r="A48" s="2669" t="s">
        <v>2539</v>
      </c>
      <c r="B48" s="2670" t="s">
        <v>2540</v>
      </c>
      <c r="C48" s="2376">
        <f ca="1">ROUND(F48*F50*F49*(1-F51)/10000,0)</f>
        <v>0</v>
      </c>
      <c r="D48" s="2377" t="s">
        <v>635</v>
      </c>
      <c r="E48" s="2378" t="s">
        <v>2296</v>
      </c>
      <c r="F48" s="2379"/>
      <c r="G48" s="2092"/>
      <c r="I48" s="2385" t="s">
        <v>2344</v>
      </c>
      <c r="J48" s="2392"/>
      <c r="K48" s="2393" t="s">
        <v>2351</v>
      </c>
      <c r="L48" s="2394">
        <f ca="1">INDIRECT("'数据-取费表'!f"&amp;$G$1)</f>
        <v>0</v>
      </c>
      <c r="O48" s="2424" t="s">
        <v>2379</v>
      </c>
      <c r="P48" s="2425" t="s">
        <v>2405</v>
      </c>
      <c r="Q48" s="2426" t="e">
        <f ca="1">C40+J29</f>
        <v>#DIV/0!</v>
      </c>
      <c r="R48" s="2425" t="s">
        <v>2380</v>
      </c>
    </row>
    <row r="49" spans="1:18" s="2061" customFormat="1" ht="18" customHeight="1" thickBot="1">
      <c r="A49" s="786"/>
      <c r="B49" s="787"/>
      <c r="C49" s="788"/>
      <c r="D49" s="789"/>
      <c r="E49" s="784" t="s">
        <v>1739</v>
      </c>
      <c r="F49" s="785">
        <f ca="1">F7</f>
        <v>0</v>
      </c>
      <c r="G49" s="2092"/>
      <c r="H49" s="2095"/>
      <c r="I49" s="2385" t="s">
        <v>2345</v>
      </c>
      <c r="J49" s="2395"/>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1740</v>
      </c>
      <c r="F50" s="785">
        <f ca="1">F8</f>
        <v>0</v>
      </c>
      <c r="G50" s="2097"/>
      <c r="H50" s="2095"/>
      <c r="I50" s="2385" t="s">
        <v>2346</v>
      </c>
      <c r="J50" s="2398">
        <f>SUMPRODUCT((I63:I65=J47)*(J62:L62=J48)*(J63:L65))</f>
        <v>0</v>
      </c>
      <c r="K50" s="2396" t="s">
        <v>2353</v>
      </c>
      <c r="L50" s="2397"/>
      <c r="O50" s="2427" t="s">
        <v>2383</v>
      </c>
      <c r="P50" s="2425" t="s">
        <v>2407</v>
      </c>
      <c r="Q50" s="2426">
        <f ca="1">C29</f>
        <v>0</v>
      </c>
      <c r="R50" s="2425" t="s">
        <v>2380</v>
      </c>
    </row>
    <row r="51" spans="1:18" s="2061" customFormat="1" ht="18" customHeight="1" thickBot="1">
      <c r="A51" s="786"/>
      <c r="B51" s="787"/>
      <c r="C51" s="788"/>
      <c r="D51" s="789"/>
      <c r="E51" s="784" t="s">
        <v>639</v>
      </c>
      <c r="F51" s="2373"/>
      <c r="H51" s="2095"/>
      <c r="I51" s="2386" t="s">
        <v>2347</v>
      </c>
      <c r="J51" s="2399">
        <f>IF(J49="",J50,J49+J50-YEAR('数据-取费表'!B2))</f>
        <v>0</v>
      </c>
      <c r="K51" s="2385" t="s">
        <v>2354</v>
      </c>
      <c r="L51" s="2400">
        <f ca="1">ROUND(-PV(INDIRECT("'数据-取费表'!h"&amp;$G$1),L48,(C39-C13*J36),0),0)</f>
        <v>0</v>
      </c>
      <c r="O51" s="2427" t="s">
        <v>2384</v>
      </c>
      <c r="P51" s="2425" t="s">
        <v>2385</v>
      </c>
      <c r="Q51" s="2428" t="e">
        <f ca="1">J58</f>
        <v>#VALUE!</v>
      </c>
      <c r="R51" s="2429"/>
    </row>
    <row r="52" spans="1:18" s="2061" customFormat="1" ht="18" customHeight="1" thickBot="1">
      <c r="A52" s="781" t="s">
        <v>2538</v>
      </c>
      <c r="B52" s="2520" t="s">
        <v>2460</v>
      </c>
      <c r="C52" s="799">
        <f ca="1">ROUND(IF(F52="押一",F48*F50*F49/12*F11,IF(F52="押二",F48*F50*F49/12*2*F11,IF(F52="押三",F48*F50*F49/12*3*F11,C53*F11)))/10000,0)</f>
        <v>0</v>
      </c>
      <c r="D52" s="2527" t="s">
        <v>2467</v>
      </c>
      <c r="E52" s="2524" t="s">
        <v>2465</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2575</v>
      </c>
      <c r="C53" s="2525"/>
      <c r="D53" s="2527"/>
      <c r="E53" s="2524"/>
      <c r="F53" s="800"/>
      <c r="I53" s="2388" t="s">
        <v>2348</v>
      </c>
      <c r="J53" s="2402" t="b">
        <f>IF(M47="住宅",J51,IF(D1="——",MIN(J51,L48),IF(D1="土地（套用方法）",MIN(J51,L48-'数据-取费表'!B20))))</f>
        <v>0</v>
      </c>
      <c r="K53" s="3760" t="s">
        <v>2970</v>
      </c>
      <c r="L53" s="3761"/>
      <c r="O53" s="2427" t="s">
        <v>2388</v>
      </c>
      <c r="P53" s="2425" t="s">
        <v>2389</v>
      </c>
      <c r="Q53" s="2426" t="b">
        <f>J53</f>
        <v>0</v>
      </c>
      <c r="R53" s="2425" t="s">
        <v>2390</v>
      </c>
    </row>
    <row r="54" spans="1:18" s="2061" customFormat="1" ht="18" customHeight="1" thickBot="1">
      <c r="A54" s="2563" t="s">
        <v>2469</v>
      </c>
      <c r="B54" s="2564" t="s">
        <v>2461</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2391</v>
      </c>
      <c r="P54" s="2425" t="s">
        <v>2408</v>
      </c>
      <c r="Q54" s="2426" t="e">
        <f ca="1">Q48+Q49</f>
        <v>#DIV/0!</v>
      </c>
      <c r="R54" s="2429" t="s">
        <v>2392</v>
      </c>
    </row>
    <row r="55" spans="1:18" s="2061" customFormat="1" ht="18" customHeight="1" thickTop="1" thickBot="1">
      <c r="A55" s="797">
        <v>2</v>
      </c>
      <c r="B55" s="798" t="s">
        <v>643</v>
      </c>
      <c r="C55" s="799">
        <f ca="1">C13</f>
        <v>0</v>
      </c>
      <c r="D55" s="795"/>
      <c r="E55" s="795"/>
      <c r="F55" s="800"/>
      <c r="I55" s="3130" t="s">
        <v>2355</v>
      </c>
      <c r="J55" s="3129" t="e">
        <f ca="1">ROUND(IF(J47="钢混",J57/J50,1-(1-2%)*(J50-J57)/J50),3)</f>
        <v>#VALUE!</v>
      </c>
      <c r="K55" s="2403" t="s">
        <v>2356</v>
      </c>
      <c r="L55" s="2404"/>
      <c r="O55" s="2430" t="s">
        <v>2411</v>
      </c>
      <c r="P55" s="1593"/>
      <c r="Q55" s="1605"/>
      <c r="R55" s="1593"/>
    </row>
    <row r="56" spans="1:18" s="2061" customFormat="1" ht="42.75" customHeight="1" thickBot="1">
      <c r="A56" s="1651"/>
      <c r="B56" s="2233" t="s">
        <v>2302</v>
      </c>
      <c r="C56" s="53">
        <f ca="1">C29</f>
        <v>0</v>
      </c>
      <c r="D56" s="2666"/>
      <c r="E56" s="784"/>
      <c r="F56" s="809"/>
      <c r="I56" s="2405" t="s">
        <v>2357</v>
      </c>
      <c r="J56" s="3153" t="s">
        <v>1678</v>
      </c>
      <c r="K56" s="2385" t="s">
        <v>2362</v>
      </c>
      <c r="L56" s="2394">
        <f ca="1">IF(L48&lt;J51,"——",L48-J51)</f>
        <v>0</v>
      </c>
      <c r="O56" s="2421" t="s">
        <v>2375</v>
      </c>
      <c r="P56" s="2422" t="s">
        <v>2376</v>
      </c>
      <c r="Q56" s="2423" t="s">
        <v>2377</v>
      </c>
      <c r="R56" s="2422" t="s">
        <v>2378</v>
      </c>
    </row>
    <row r="57" spans="1:18" s="2061" customFormat="1" ht="28.5" customHeight="1" thickBot="1">
      <c r="A57" s="797" t="s">
        <v>1748</v>
      </c>
      <c r="B57" s="798" t="s">
        <v>650</v>
      </c>
      <c r="C57" s="799">
        <f ca="1">ROUND(C58+C63+C64+C65,0)</f>
        <v>0</v>
      </c>
      <c r="D57" s="26" t="s">
        <v>1750</v>
      </c>
      <c r="E57" s="2667"/>
      <c r="F57" s="56"/>
      <c r="I57" s="2406" t="s">
        <v>2358</v>
      </c>
      <c r="J57" s="2408" t="str">
        <f ca="1">IF(OR(M47="住宅",J51&lt;L48,J56="是"),"——",J51-L48)</f>
        <v>——</v>
      </c>
      <c r="K57" s="2385" t="s">
        <v>2363</v>
      </c>
      <c r="L57" s="2394">
        <f ca="1">IF(L48&lt;J51,"——",IF(L55="比较法",L49,IF(L55="基准地价",L50,L51)))</f>
        <v>0</v>
      </c>
      <c r="O57" s="2424" t="s">
        <v>2379</v>
      </c>
      <c r="P57" s="2425" t="s">
        <v>2409</v>
      </c>
      <c r="Q57" s="2426" t="e">
        <f ca="1">C40+J29</f>
        <v>#DIV/0!</v>
      </c>
      <c r="R57" s="2425" t="s">
        <v>2380</v>
      </c>
    </row>
    <row r="58" spans="1:18" s="2061" customFormat="1" ht="28.5" customHeight="1" thickBot="1">
      <c r="A58" s="1650" t="s">
        <v>1824</v>
      </c>
      <c r="B58" s="784" t="s">
        <v>655</v>
      </c>
      <c r="C58" s="53">
        <f ca="1">ROUND(IF(项目基本情况!B11="自然人",C47*F58,C59+C60+C61),1)</f>
        <v>0</v>
      </c>
      <c r="D58" s="2665" t="s">
        <v>656</v>
      </c>
      <c r="E58" s="2666" t="s">
        <v>689</v>
      </c>
      <c r="F58" s="810" t="str">
        <f ca="1">IF(项目基本情况!B11="企业","",IF(INDIRECT("'数据-取费表'!c"&amp;$G$1)="住宅",5%,IF(F48*F49*F50/12/(1+'数据-取费表'!C42)&gt;20000,12%,7%)))</f>
        <v/>
      </c>
      <c r="I58" s="2406" t="s">
        <v>2359</v>
      </c>
      <c r="J58" s="3131" t="e">
        <f ca="1">IF(J55&lt;0.4,0.4,J55)</f>
        <v>#VALUE!</v>
      </c>
      <c r="K58" s="2385" t="s">
        <v>2364</v>
      </c>
      <c r="L58" s="2394" t="e">
        <f ca="1">ROUND(POWER(1+L52,L47-L48)*(POWER(1+L52,L48)-1)/(POWER(1+L52,L47)-1),4)</f>
        <v>#DIV/0!</v>
      </c>
      <c r="O58" s="2424" t="s">
        <v>2381</v>
      </c>
      <c r="P58" s="2425" t="s">
        <v>2412</v>
      </c>
      <c r="Q58" s="2426" t="e">
        <f ca="1">L60</f>
        <v>#DIV/0!</v>
      </c>
      <c r="R58" s="2429" t="s">
        <v>2414</v>
      </c>
    </row>
    <row r="59" spans="1:18" s="2061" customFormat="1" ht="28.5" customHeight="1" thickBot="1">
      <c r="A59" s="1649" t="s">
        <v>1831</v>
      </c>
      <c r="B59" s="784" t="s">
        <v>659</v>
      </c>
      <c r="C59" s="53">
        <f ca="1">ROUND(C47*F59/1.05,1)</f>
        <v>0</v>
      </c>
      <c r="D59" s="2666" t="s">
        <v>1756</v>
      </c>
      <c r="E59" s="784" t="s">
        <v>1747</v>
      </c>
      <c r="F59" s="809">
        <f t="shared" ref="F59:F65" si="0">F32</f>
        <v>5.6000000000000001E-2</v>
      </c>
      <c r="I59" s="2406" t="s">
        <v>2360</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1832</v>
      </c>
      <c r="B60" s="784" t="s">
        <v>1758</v>
      </c>
      <c r="C60" s="53">
        <f ca="1">IF(D60="按租金收入计税",ROUND(C47*F60,1),IF(D60="按房产原值计税",ROUND(C56*F60*0.7,1),INDIRECT("'数据-取费表'!Aj"&amp;$G$1)))</f>
        <v>0</v>
      </c>
      <c r="D60" s="2666" t="str">
        <f>D33</f>
        <v>按房产原值计税</v>
      </c>
      <c r="E60" s="784" t="s">
        <v>1747</v>
      </c>
      <c r="F60" s="809">
        <f t="shared" si="0"/>
        <v>1.2E-2</v>
      </c>
      <c r="I60" s="2407" t="s">
        <v>2361</v>
      </c>
      <c r="J60" s="2409" t="str">
        <f ca="1">IF(OR(M47="住宅",J51&lt;L48,J56="是"),"0",ROUND(J59/(1+J52)^J53,0))</f>
        <v>0</v>
      </c>
      <c r="K60" s="2410" t="s">
        <v>2366</v>
      </c>
      <c r="L60" s="2409" t="e">
        <f ca="1">IF(OR(M47="住宅",L48&lt;J51),0,ROUND(L57*(L58/L59-1),0))</f>
        <v>#DIV/0!</v>
      </c>
      <c r="O60" s="2427" t="s">
        <v>2384</v>
      </c>
      <c r="P60" s="2425" t="s">
        <v>2393</v>
      </c>
      <c r="Q60" s="2428">
        <f>L52</f>
        <v>0</v>
      </c>
      <c r="R60" s="2429"/>
    </row>
    <row r="61" spans="1:18" s="2061" customFormat="1" ht="18" customHeight="1" thickBot="1">
      <c r="A61" s="1652" t="s">
        <v>1833</v>
      </c>
      <c r="B61" s="341" t="s">
        <v>667</v>
      </c>
      <c r="C61" s="54">
        <f ca="1">ROUND(F61*F62/10000,1)</f>
        <v>0</v>
      </c>
      <c r="D61" s="814" t="s">
        <v>668</v>
      </c>
      <c r="E61" s="784" t="s">
        <v>669</v>
      </c>
      <c r="F61" s="640">
        <f t="shared" si="0"/>
        <v>18</v>
      </c>
      <c r="K61" s="2088"/>
      <c r="O61" s="2427" t="s">
        <v>2386</v>
      </c>
      <c r="P61" s="2425" t="s">
        <v>2394</v>
      </c>
      <c r="Q61" s="2426" t="e">
        <f ca="1">L58</f>
        <v>#DIV/0!</v>
      </c>
      <c r="R61" s="2429" t="s">
        <v>2395</v>
      </c>
    </row>
    <row r="62" spans="1:18" s="2061" customFormat="1" ht="15.75" thickBot="1">
      <c r="A62" s="815"/>
      <c r="B62" s="793"/>
      <c r="C62" s="69"/>
      <c r="D62" s="816"/>
      <c r="E62" s="784" t="s">
        <v>673</v>
      </c>
      <c r="F62" s="785">
        <f t="shared" ca="1" si="0"/>
        <v>0</v>
      </c>
      <c r="I62" s="2411" t="s">
        <v>2367</v>
      </c>
      <c r="J62" s="2412" t="s">
        <v>2368</v>
      </c>
      <c r="K62" s="2412" t="s">
        <v>2369</v>
      </c>
      <c r="L62" s="2412" t="s">
        <v>2350</v>
      </c>
      <c r="M62" s="3132" t="s">
        <v>2945</v>
      </c>
      <c r="O62" s="2427" t="s">
        <v>2388</v>
      </c>
      <c r="P62" s="2425" t="str">
        <f>K59</f>
        <v>建设期及建筑物耐用年限下的土地年期修正系数Kn</v>
      </c>
      <c r="Q62" s="2426" t="e">
        <f ca="1">L59</f>
        <v>#DIV/0!</v>
      </c>
      <c r="R62" s="2429" t="s">
        <v>2397</v>
      </c>
    </row>
    <row r="63" spans="1:18" s="2061" customFormat="1" ht="15.75" thickBot="1">
      <c r="A63" s="1650" t="s">
        <v>1889</v>
      </c>
      <c r="B63" s="784" t="s">
        <v>675</v>
      </c>
      <c r="C63" s="53">
        <f ca="1">ROUND(C56*F63,1)</f>
        <v>0</v>
      </c>
      <c r="D63" s="2666" t="s">
        <v>1803</v>
      </c>
      <c r="E63" s="784" t="s">
        <v>1747</v>
      </c>
      <c r="F63" s="817">
        <f t="shared" ca="1" si="0"/>
        <v>0</v>
      </c>
      <c r="I63" s="2411" t="s">
        <v>2370</v>
      </c>
      <c r="J63" s="2412">
        <v>70</v>
      </c>
      <c r="K63" s="2412">
        <v>50</v>
      </c>
      <c r="L63" s="2412">
        <v>80</v>
      </c>
      <c r="M63" s="3133">
        <v>0.02</v>
      </c>
      <c r="O63" s="2424" t="s">
        <v>2391</v>
      </c>
      <c r="P63" s="2425" t="s">
        <v>2408</v>
      </c>
      <c r="Q63" s="2426" t="e">
        <f ca="1">Q57+Q58</f>
        <v>#DIV/0!</v>
      </c>
      <c r="R63" s="2429" t="s">
        <v>2392</v>
      </c>
    </row>
    <row r="64" spans="1:18" s="2061" customFormat="1" ht="16.5" thickBot="1">
      <c r="A64" s="1650" t="s">
        <v>1890</v>
      </c>
      <c r="B64" s="784" t="s">
        <v>678</v>
      </c>
      <c r="C64" s="53">
        <f ca="1">ROUND(C55*F64,1)</f>
        <v>0</v>
      </c>
      <c r="D64" s="2666" t="s">
        <v>679</v>
      </c>
      <c r="E64" s="784" t="s">
        <v>1747</v>
      </c>
      <c r="F64" s="818">
        <f t="shared" ca="1" si="0"/>
        <v>0</v>
      </c>
      <c r="I64" s="2411" t="s">
        <v>2371</v>
      </c>
      <c r="J64" s="2412">
        <v>50</v>
      </c>
      <c r="K64" s="2412">
        <v>35</v>
      </c>
      <c r="L64" s="2412">
        <v>60</v>
      </c>
      <c r="M64" s="3134">
        <v>0</v>
      </c>
      <c r="O64" s="2430" t="s">
        <v>2415</v>
      </c>
      <c r="P64" s="1593"/>
      <c r="Q64" s="1605"/>
      <c r="R64" s="1593"/>
    </row>
    <row r="65" spans="1:18" s="2061" customFormat="1" ht="15.75" thickBot="1">
      <c r="A65" s="1650" t="s">
        <v>1891</v>
      </c>
      <c r="B65" s="784" t="s">
        <v>665</v>
      </c>
      <c r="C65" s="53">
        <f ca="1">ROUND(C47*F65,1)</f>
        <v>0</v>
      </c>
      <c r="D65" s="2666" t="s">
        <v>682</v>
      </c>
      <c r="E65" s="784" t="s">
        <v>1747</v>
      </c>
      <c r="F65" s="794">
        <f t="shared" ca="1" si="0"/>
        <v>0</v>
      </c>
      <c r="I65" s="2411" t="s">
        <v>2372</v>
      </c>
      <c r="J65" s="2412">
        <v>40</v>
      </c>
      <c r="K65" s="2412">
        <v>30</v>
      </c>
      <c r="L65" s="2412">
        <v>50</v>
      </c>
      <c r="M65" s="3133">
        <v>0.02</v>
      </c>
      <c r="O65" s="2421" t="s">
        <v>2375</v>
      </c>
      <c r="P65" s="2422" t="s">
        <v>2376</v>
      </c>
      <c r="Q65" s="2423" t="s">
        <v>2377</v>
      </c>
      <c r="R65" s="2422" t="s">
        <v>2378</v>
      </c>
    </row>
    <row r="66" spans="1:18" s="2061" customFormat="1" ht="24.75" thickBot="1">
      <c r="A66" s="797" t="s">
        <v>1776</v>
      </c>
      <c r="B66" s="3038" t="s">
        <v>2824</v>
      </c>
      <c r="C66" s="799">
        <f ca="1">C47-C57</f>
        <v>0</v>
      </c>
      <c r="D66" s="2665" t="s">
        <v>699</v>
      </c>
      <c r="E66" s="2664"/>
      <c r="F66" s="820"/>
      <c r="K66" s="2088"/>
      <c r="O66" s="2424" t="s">
        <v>2379</v>
      </c>
      <c r="P66" s="2425" t="s">
        <v>2409</v>
      </c>
      <c r="Q66" s="2426" t="e">
        <f ca="1">C40+J29</f>
        <v>#DIV/0!</v>
      </c>
      <c r="R66" s="2425" t="s">
        <v>2380</v>
      </c>
    </row>
    <row r="67" spans="1:18" s="2061" customFormat="1" ht="20.25" thickBot="1">
      <c r="A67" s="781" t="s">
        <v>1780</v>
      </c>
      <c r="B67" s="2234" t="s">
        <v>2301</v>
      </c>
      <c r="C67" s="783" t="e">
        <f ca="1">ROUND(C66*(1-((1+F69)/(1+F67))^F68)/(F67-F69),0)</f>
        <v>#DIV/0!</v>
      </c>
      <c r="D67" s="814" t="s">
        <v>703</v>
      </c>
      <c r="E67" s="784" t="s">
        <v>704</v>
      </c>
      <c r="F67" s="794">
        <f ca="1">F40</f>
        <v>0</v>
      </c>
      <c r="K67" s="2088"/>
      <c r="O67" s="2424" t="s">
        <v>2381</v>
      </c>
      <c r="P67" s="2425" t="s">
        <v>2412</v>
      </c>
      <c r="Q67" s="2426" t="e">
        <f ca="1">L60</f>
        <v>#DIV/0!</v>
      </c>
      <c r="R67" s="2429" t="s">
        <v>2414</v>
      </c>
    </row>
    <row r="68" spans="1:18" ht="21.75" thickBot="1">
      <c r="A68" s="786"/>
      <c r="B68" s="787"/>
      <c r="C68" s="788"/>
      <c r="D68" s="821" t="s">
        <v>1808</v>
      </c>
      <c r="E68" s="784" t="s">
        <v>1784</v>
      </c>
      <c r="F68" s="822">
        <f ca="1">F41</f>
        <v>0</v>
      </c>
      <c r="O68" s="2427" t="s">
        <v>2383</v>
      </c>
      <c r="P68" s="2425" t="s">
        <v>2413</v>
      </c>
      <c r="Q68" s="2431">
        <f ca="1">L51</f>
        <v>0</v>
      </c>
      <c r="R68" s="2432" t="s">
        <v>2416</v>
      </c>
    </row>
    <row r="69" spans="1:18" ht="20.25" thickBot="1">
      <c r="A69" s="790"/>
      <c r="B69" s="791"/>
      <c r="C69" s="792"/>
      <c r="D69" s="816"/>
      <c r="E69" s="784" t="s">
        <v>709</v>
      </c>
      <c r="F69" s="2373"/>
      <c r="O69" s="2427" t="s">
        <v>2384</v>
      </c>
      <c r="P69" s="2433" t="s">
        <v>2398</v>
      </c>
      <c r="Q69" s="2426">
        <f ca="1">ROUND(Q70-Q71*Q72,0)</f>
        <v>0</v>
      </c>
      <c r="R69" s="2429"/>
    </row>
    <row r="70" spans="1:18" ht="15.75" thickBot="1">
      <c r="A70" s="823" t="s">
        <v>1787</v>
      </c>
      <c r="B70" s="824" t="s">
        <v>1810</v>
      </c>
      <c r="C70" s="825" t="e">
        <f ca="1">ROUND(C67*10000/F70,0)</f>
        <v>#DIV/0!</v>
      </c>
      <c r="D70" s="826" t="s">
        <v>1811</v>
      </c>
      <c r="E70" s="827" t="s">
        <v>1812</v>
      </c>
      <c r="F70" s="828">
        <f ca="1">F43</f>
        <v>0</v>
      </c>
      <c r="O70" s="2427" t="s">
        <v>2399</v>
      </c>
      <c r="P70" s="2433" t="s">
        <v>2400</v>
      </c>
      <c r="Q70" s="2426">
        <f ca="1">C39</f>
        <v>0</v>
      </c>
      <c r="R70" s="2425" t="s">
        <v>2380</v>
      </c>
    </row>
    <row r="71" spans="1:18" ht="15.75" thickBot="1">
      <c r="O71" s="2427" t="s">
        <v>2401</v>
      </c>
      <c r="P71" s="2433" t="s">
        <v>2402</v>
      </c>
      <c r="Q71" s="2426">
        <f ca="1">C13</f>
        <v>0</v>
      </c>
      <c r="R71" s="2425" t="s">
        <v>2380</v>
      </c>
    </row>
    <row r="72" spans="1:18" ht="15.75" thickBot="1">
      <c r="O72" s="2427" t="s">
        <v>2403</v>
      </c>
      <c r="P72" s="2433" t="s">
        <v>2404</v>
      </c>
      <c r="Q72" s="2428">
        <f ca="1">J36</f>
        <v>0</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t="e">
        <f ca="1">Q66+Q67</f>
        <v>#DIV/0!</v>
      </c>
      <c r="R76" s="242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62" t="s">
        <v>2473</v>
      </c>
      <c r="B1" s="3763"/>
      <c r="C1" s="3764"/>
      <c r="D1" s="3765">
        <f>SUM(I10,I15,I20,I21,I23)</f>
        <v>0</v>
      </c>
      <c r="E1" s="3765"/>
      <c r="F1" s="3765"/>
      <c r="G1" s="3765"/>
      <c r="H1" s="3765"/>
      <c r="I1" s="3766"/>
    </row>
    <row r="2" spans="1:9">
      <c r="A2" s="3767" t="s">
        <v>2474</v>
      </c>
      <c r="B2" s="3768" t="s">
        <v>2475</v>
      </c>
      <c r="C2" s="3768"/>
      <c r="D2" s="2533" t="s">
        <v>2476</v>
      </c>
      <c r="E2" s="2533" t="s">
        <v>2477</v>
      </c>
      <c r="F2" s="2533" t="s">
        <v>2478</v>
      </c>
      <c r="G2" s="2533" t="s">
        <v>2479</v>
      </c>
      <c r="H2" s="2533" t="s">
        <v>2480</v>
      </c>
      <c r="I2" s="2534" t="s">
        <v>2481</v>
      </c>
    </row>
    <row r="3" spans="1:9">
      <c r="A3" s="3767"/>
      <c r="B3" s="3768" t="s">
        <v>2482</v>
      </c>
      <c r="C3" s="3768"/>
      <c r="D3" s="2535"/>
      <c r="E3" s="2533"/>
      <c r="F3" s="2536"/>
      <c r="G3" s="2536"/>
      <c r="H3" s="2537"/>
      <c r="I3" s="2538">
        <f>ROUND(D3*E3*F3*G3*H3/10000,0)</f>
        <v>0</v>
      </c>
    </row>
    <row r="4" spans="1:9">
      <c r="A4" s="3767"/>
      <c r="B4" s="3768" t="s">
        <v>2483</v>
      </c>
      <c r="C4" s="3768"/>
      <c r="D4" s="2535"/>
      <c r="E4" s="2533"/>
      <c r="F4" s="2536"/>
      <c r="G4" s="2536"/>
      <c r="H4" s="2537"/>
      <c r="I4" s="2538">
        <f t="shared" ref="I4:I9" si="0">ROUND(D4*E4*F4*G4*H4/10000,0)</f>
        <v>0</v>
      </c>
    </row>
    <row r="5" spans="1:9">
      <c r="A5" s="3767"/>
      <c r="B5" s="3768" t="s">
        <v>2484</v>
      </c>
      <c r="C5" s="3768"/>
      <c r="D5" s="2535"/>
      <c r="E5" s="2533"/>
      <c r="F5" s="2536"/>
      <c r="G5" s="2536"/>
      <c r="H5" s="2537"/>
      <c r="I5" s="2538">
        <f t="shared" si="0"/>
        <v>0</v>
      </c>
    </row>
    <row r="6" spans="1:9">
      <c r="A6" s="3767"/>
      <c r="B6" s="3768" t="s">
        <v>2485</v>
      </c>
      <c r="C6" s="3768"/>
      <c r="D6" s="2535"/>
      <c r="E6" s="2533"/>
      <c r="F6" s="2536"/>
      <c r="G6" s="2536"/>
      <c r="H6" s="2537"/>
      <c r="I6" s="2538">
        <f t="shared" si="0"/>
        <v>0</v>
      </c>
    </row>
    <row r="7" spans="1:9">
      <c r="A7" s="3767"/>
      <c r="B7" s="3768" t="s">
        <v>2486</v>
      </c>
      <c r="C7" s="3768"/>
      <c r="D7" s="2535"/>
      <c r="E7" s="2533"/>
      <c r="F7" s="2536"/>
      <c r="G7" s="2536"/>
      <c r="H7" s="2537"/>
      <c r="I7" s="2538">
        <f t="shared" si="0"/>
        <v>0</v>
      </c>
    </row>
    <row r="8" spans="1:9">
      <c r="A8" s="3767"/>
      <c r="B8" s="3768" t="s">
        <v>2487</v>
      </c>
      <c r="C8" s="3768"/>
      <c r="D8" s="2535"/>
      <c r="E8" s="2533"/>
      <c r="F8" s="2536"/>
      <c r="G8" s="2536"/>
      <c r="H8" s="2537"/>
      <c r="I8" s="2538">
        <f t="shared" si="0"/>
        <v>0</v>
      </c>
    </row>
    <row r="9" spans="1:9">
      <c r="A9" s="3767"/>
      <c r="B9" s="3768" t="s">
        <v>2488</v>
      </c>
      <c r="C9" s="3768"/>
      <c r="D9" s="2535"/>
      <c r="E9" s="2533"/>
      <c r="F9" s="2536"/>
      <c r="G9" s="2536"/>
      <c r="H9" s="2537"/>
      <c r="I9" s="2538">
        <f t="shared" si="0"/>
        <v>0</v>
      </c>
    </row>
    <row r="10" spans="1:9">
      <c r="A10" s="3767"/>
      <c r="B10" s="3769" t="s">
        <v>2489</v>
      </c>
      <c r="C10" s="3769"/>
      <c r="D10" s="2539">
        <v>527</v>
      </c>
      <c r="E10" s="2539" t="e">
        <f>ROUND(D1*10000/D10/H9,0)</f>
        <v>#DIV/0!</v>
      </c>
      <c r="F10" s="2540"/>
      <c r="G10" s="2540"/>
      <c r="H10" s="2541"/>
      <c r="I10" s="2542">
        <f>SUM(I3:I9)</f>
        <v>0</v>
      </c>
    </row>
    <row r="11" spans="1:9" ht="14.25">
      <c r="A11" s="3767" t="s">
        <v>2490</v>
      </c>
      <c r="B11" s="3768" t="s">
        <v>2491</v>
      </c>
      <c r="C11" s="3768"/>
      <c r="D11" s="2535" t="s">
        <v>2492</v>
      </c>
      <c r="E11" s="2535" t="s">
        <v>2493</v>
      </c>
      <c r="F11" s="2536" t="s">
        <v>2494</v>
      </c>
      <c r="G11" s="2536" t="s">
        <v>2495</v>
      </c>
      <c r="H11" s="2543" t="s">
        <v>2496</v>
      </c>
      <c r="I11" s="2534" t="s">
        <v>2497</v>
      </c>
    </row>
    <row r="12" spans="1:9">
      <c r="A12" s="3767"/>
      <c r="B12" s="3768" t="s">
        <v>2498</v>
      </c>
      <c r="C12" s="3768"/>
      <c r="D12" s="2535"/>
      <c r="E12" s="2535"/>
      <c r="F12" s="2536"/>
      <c r="G12" s="2537"/>
      <c r="H12" s="2544"/>
      <c r="I12" s="2534">
        <f>ROUND(D12*E12*F12*G12/10000,0)</f>
        <v>0</v>
      </c>
    </row>
    <row r="13" spans="1:9">
      <c r="A13" s="3767"/>
      <c r="B13" s="3768" t="s">
        <v>2499</v>
      </c>
      <c r="C13" s="3768"/>
      <c r="D13" s="2535"/>
      <c r="E13" s="2535"/>
      <c r="F13" s="2536"/>
      <c r="G13" s="2537"/>
      <c r="H13" s="2544"/>
      <c r="I13" s="2534">
        <f>ROUND(D13*E13*F13*G13/10000,0)</f>
        <v>0</v>
      </c>
    </row>
    <row r="14" spans="1:9">
      <c r="A14" s="3767"/>
      <c r="B14" s="3768" t="s">
        <v>2500</v>
      </c>
      <c r="C14" s="3768"/>
      <c r="D14" s="2535"/>
      <c r="E14" s="2535"/>
      <c r="F14" s="2536"/>
      <c r="G14" s="2537"/>
      <c r="H14" s="2544"/>
      <c r="I14" s="2534">
        <f>ROUND(D14*E14*F14*G14/10000,0)</f>
        <v>0</v>
      </c>
    </row>
    <row r="15" spans="1:9">
      <c r="A15" s="3767"/>
      <c r="B15" s="3769" t="s">
        <v>2489</v>
      </c>
      <c r="C15" s="3769"/>
      <c r="D15" s="2539"/>
      <c r="E15" s="2539">
        <f>SUM(E12:E14)</f>
        <v>0</v>
      </c>
      <c r="F15" s="2540"/>
      <c r="G15" s="2537"/>
      <c r="H15" s="2544"/>
      <c r="I15" s="2545">
        <f>SUM(I12:I14)</f>
        <v>0</v>
      </c>
    </row>
    <row r="16" spans="1:9" ht="24">
      <c r="A16" s="3767" t="s">
        <v>2501</v>
      </c>
      <c r="B16" s="3768" t="s">
        <v>2502</v>
      </c>
      <c r="C16" s="3768"/>
      <c r="D16" s="2535" t="s">
        <v>2503</v>
      </c>
      <c r="E16" s="2546" t="s">
        <v>2504</v>
      </c>
      <c r="F16" s="2536" t="s">
        <v>2505</v>
      </c>
      <c r="G16" s="2537" t="s">
        <v>2495</v>
      </c>
      <c r="H16" s="2543" t="s">
        <v>2496</v>
      </c>
      <c r="I16" s="2534" t="s">
        <v>2497</v>
      </c>
    </row>
    <row r="17" spans="1:9" ht="14.25">
      <c r="A17" s="3767"/>
      <c r="B17" s="3768" t="s">
        <v>2506</v>
      </c>
      <c r="C17" s="3768"/>
      <c r="D17" s="2535"/>
      <c r="E17" s="2535"/>
      <c r="F17" s="2536"/>
      <c r="G17" s="2537"/>
      <c r="H17" s="2547"/>
      <c r="I17" s="2548">
        <f>ROUND(D17*E17*F17*G17/10000,0)</f>
        <v>0</v>
      </c>
    </row>
    <row r="18" spans="1:9" ht="14.25">
      <c r="A18" s="3767"/>
      <c r="B18" s="3768" t="s">
        <v>2507</v>
      </c>
      <c r="C18" s="3768"/>
      <c r="D18" s="2535"/>
      <c r="E18" s="2535"/>
      <c r="F18" s="2536"/>
      <c r="G18" s="2537"/>
      <c r="H18" s="2547"/>
      <c r="I18" s="2548">
        <f>ROUND(D18*E18*F18*G18/10000,0)</f>
        <v>0</v>
      </c>
    </row>
    <row r="19" spans="1:9" ht="14.25">
      <c r="A19" s="3767"/>
      <c r="B19" s="3768" t="s">
        <v>2508</v>
      </c>
      <c r="C19" s="3768"/>
      <c r="D19" s="2535"/>
      <c r="E19" s="2535"/>
      <c r="F19" s="2536"/>
      <c r="G19" s="2537"/>
      <c r="H19" s="2547"/>
      <c r="I19" s="2548">
        <f>ROUND(D19*E19*F19*G19/10000,0)</f>
        <v>0</v>
      </c>
    </row>
    <row r="20" spans="1:9">
      <c r="A20" s="3767"/>
      <c r="B20" s="3769" t="s">
        <v>2489</v>
      </c>
      <c r="C20" s="3769"/>
      <c r="D20" s="2539">
        <f>SUM(D17:D19)</f>
        <v>0</v>
      </c>
      <c r="E20" s="2539"/>
      <c r="F20" s="2540"/>
      <c r="G20" s="2537"/>
      <c r="H20" s="2544"/>
      <c r="I20" s="2545">
        <f>SUM(I17:I19)</f>
        <v>0</v>
      </c>
    </row>
    <row r="21" spans="1:9">
      <c r="A21" s="3767" t="s">
        <v>2509</v>
      </c>
      <c r="B21" s="3771"/>
      <c r="C21" s="3771"/>
      <c r="D21" s="3771"/>
      <c r="E21" s="3771"/>
      <c r="F21" s="3771"/>
      <c r="G21" s="3771"/>
      <c r="H21" s="2549">
        <v>0.1</v>
      </c>
      <c r="I21" s="2542">
        <f>ROUND(I10*H21,0)</f>
        <v>0</v>
      </c>
    </row>
    <row r="22" spans="1:9" ht="14.25">
      <c r="A22" s="3772" t="s">
        <v>2510</v>
      </c>
      <c r="B22" s="3773"/>
      <c r="C22" s="3774"/>
      <c r="D22" s="2550" t="s">
        <v>2511</v>
      </c>
      <c r="E22" s="2550" t="s">
        <v>2512</v>
      </c>
      <c r="F22" s="2551" t="s">
        <v>2513</v>
      </c>
      <c r="G22" s="2551" t="s">
        <v>2514</v>
      </c>
      <c r="H22" s="2543" t="s">
        <v>2515</v>
      </c>
      <c r="I22" s="2534" t="s">
        <v>2516</v>
      </c>
    </row>
    <row r="23" spans="1:9" ht="14.25" thickBot="1">
      <c r="A23" s="3775"/>
      <c r="B23" s="3776"/>
      <c r="C23" s="3777"/>
      <c r="D23" s="2552"/>
      <c r="E23" s="2552"/>
      <c r="F23" s="2552"/>
      <c r="G23" s="2553"/>
      <c r="H23" s="2554"/>
      <c r="I23" s="2555">
        <f>ROUND(E23*D23*F23*(1-G23)/10000,0)</f>
        <v>0</v>
      </c>
    </row>
    <row r="26" spans="1:9">
      <c r="A26" s="2556" t="s">
        <v>2517</v>
      </c>
      <c r="B26" s="2556"/>
      <c r="C26" s="2556"/>
      <c r="D26" s="2556"/>
      <c r="E26" s="3778">
        <f>C27-C30-C31-C32</f>
        <v>0</v>
      </c>
      <c r="F26" s="3778"/>
      <c r="G26" s="3778"/>
      <c r="H26" s="3071" t="s">
        <v>2845</v>
      </c>
    </row>
    <row r="27" spans="1:9">
      <c r="A27" s="2557">
        <v>1</v>
      </c>
      <c r="B27" s="2558" t="s">
        <v>2518</v>
      </c>
      <c r="C27" s="2558"/>
      <c r="D27" s="2558"/>
      <c r="E27" s="3779"/>
      <c r="F27" s="3779"/>
      <c r="G27" s="3779"/>
    </row>
    <row r="28" spans="1:9">
      <c r="A28" s="2559" t="s">
        <v>2519</v>
      </c>
      <c r="B28" s="2558" t="s">
        <v>2520</v>
      </c>
      <c r="C28" s="2558"/>
      <c r="D28" s="2558"/>
      <c r="E28" s="3779"/>
      <c r="F28" s="3779"/>
      <c r="G28" s="3779"/>
    </row>
    <row r="29" spans="1:9">
      <c r="A29" s="2559" t="s">
        <v>2521</v>
      </c>
      <c r="B29" s="2558" t="s">
        <v>2461</v>
      </c>
      <c r="C29" s="2558"/>
      <c r="D29" s="2558"/>
      <c r="E29" s="2558" t="s">
        <v>2522</v>
      </c>
      <c r="F29" s="2558"/>
      <c r="G29" s="2558"/>
    </row>
    <row r="30" spans="1:9">
      <c r="A30" s="2557">
        <v>2</v>
      </c>
      <c r="B30" s="2558" t="s">
        <v>2523</v>
      </c>
      <c r="C30" s="2558">
        <f>C27*D30</f>
        <v>0</v>
      </c>
      <c r="D30" s="2560">
        <v>0.2</v>
      </c>
      <c r="E30" s="2558" t="s">
        <v>2524</v>
      </c>
      <c r="F30" s="2558"/>
      <c r="G30" s="2558"/>
    </row>
    <row r="31" spans="1:9">
      <c r="A31" s="2557">
        <v>3</v>
      </c>
      <c r="B31" s="2558" t="s">
        <v>2525</v>
      </c>
      <c r="C31" s="2558">
        <f>C25*D31</f>
        <v>0</v>
      </c>
      <c r="D31" s="2560">
        <v>0.15</v>
      </c>
      <c r="E31" s="2558" t="s">
        <v>2526</v>
      </c>
      <c r="F31" s="2558"/>
      <c r="G31" s="2558"/>
    </row>
    <row r="32" spans="1:9">
      <c r="A32" s="2557">
        <v>4</v>
      </c>
      <c r="B32" s="2558" t="s">
        <v>2527</v>
      </c>
      <c r="C32" s="2558">
        <f>C27*D32</f>
        <v>0</v>
      </c>
      <c r="D32" s="2560">
        <v>0.05</v>
      </c>
      <c r="E32" s="3770"/>
      <c r="F32" s="3770"/>
      <c r="G32" s="3770"/>
    </row>
    <row r="33" spans="1:7" hidden="1">
      <c r="A33" s="3780" t="s">
        <v>2528</v>
      </c>
      <c r="B33" s="3781"/>
      <c r="C33" s="3781"/>
      <c r="D33" s="3782"/>
      <c r="E33" s="3778"/>
      <c r="F33" s="3778"/>
      <c r="G33" s="3778"/>
    </row>
    <row r="34" spans="1:7" hidden="1">
      <c r="A34" s="2561">
        <v>1</v>
      </c>
      <c r="B34" s="2558" t="s">
        <v>2529</v>
      </c>
      <c r="C34" s="2558"/>
      <c r="D34" s="2558"/>
      <c r="E34" s="3779"/>
      <c r="F34" s="3779"/>
      <c r="G34" s="3779"/>
    </row>
    <row r="35" spans="1:7" hidden="1">
      <c r="A35" s="2561">
        <v>2</v>
      </c>
      <c r="B35" s="2558" t="s">
        <v>2530</v>
      </c>
      <c r="C35" s="2558"/>
      <c r="D35" s="2558"/>
      <c r="E35" s="3779"/>
      <c r="F35" s="3779"/>
      <c r="G35" s="3779"/>
    </row>
    <row r="36" spans="1:7" hidden="1">
      <c r="A36" s="2561">
        <v>3</v>
      </c>
      <c r="B36" s="2558" t="s">
        <v>2531</v>
      </c>
      <c r="C36" s="2558"/>
      <c r="D36" s="2558"/>
      <c r="E36" s="3779"/>
      <c r="F36" s="3779"/>
      <c r="G36" s="3779"/>
    </row>
    <row r="37" spans="1:7" hidden="1">
      <c r="A37" s="2561">
        <v>4</v>
      </c>
      <c r="B37" s="2558" t="s">
        <v>2532</v>
      </c>
      <c r="C37" s="2558"/>
      <c r="D37" s="2558"/>
      <c r="E37" s="3779"/>
      <c r="F37" s="3779"/>
      <c r="G37" s="3779"/>
    </row>
    <row r="38" spans="1:7" hidden="1">
      <c r="A38" s="3780" t="s">
        <v>2533</v>
      </c>
      <c r="B38" s="3781"/>
      <c r="C38" s="3781"/>
      <c r="D38" s="3782"/>
      <c r="E38" s="3778"/>
      <c r="F38" s="3778"/>
      <c r="G38" s="37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465</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466</v>
      </c>
      <c r="B4" s="427">
        <f ca="1">ROUND(B2*10000/'数据-汇总表'!D3,0)</f>
        <v>0</v>
      </c>
      <c r="C4" s="2063"/>
      <c r="D4" s="2110"/>
      <c r="E4" s="2110"/>
      <c r="F4" s="2110"/>
      <c r="G4" s="2110"/>
    </row>
    <row r="5" spans="1:25" s="2061" customFormat="1" ht="18" customHeight="1" thickBot="1">
      <c r="A5" s="429"/>
      <c r="B5" s="430">
        <f ca="1">ROUND(B2/('数据-汇总表'!D3/666.67),0)</f>
        <v>0</v>
      </c>
      <c r="C5" s="431" t="s">
        <v>467</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95">
        <v>1</v>
      </c>
      <c r="B7" s="748" t="s">
        <v>608</v>
      </c>
      <c r="C7" s="749">
        <f>C8+C9</f>
        <v>0</v>
      </c>
      <c r="D7" s="749"/>
      <c r="E7" s="750"/>
      <c r="F7" s="750"/>
      <c r="G7" s="2505"/>
    </row>
    <row r="8" spans="1:25" s="2185" customFormat="1" ht="13.5" customHeight="1">
      <c r="A8" s="2495" t="s">
        <v>2440</v>
      </c>
      <c r="B8" s="2498" t="s">
        <v>2442</v>
      </c>
      <c r="C8" s="2499"/>
      <c r="D8" s="749"/>
      <c r="E8" s="750"/>
      <c r="F8" s="750"/>
      <c r="G8" s="751"/>
    </row>
    <row r="9" spans="1:25" s="2185" customFormat="1" ht="13.5" customHeight="1">
      <c r="A9" s="2495" t="s">
        <v>2441</v>
      </c>
      <c r="B9" s="2498" t="s">
        <v>2443</v>
      </c>
      <c r="C9" s="2499"/>
      <c r="D9" s="749"/>
      <c r="E9" s="750"/>
      <c r="F9" s="750"/>
      <c r="G9" s="751"/>
    </row>
    <row r="10" spans="1:25" s="2185" customFormat="1" ht="36">
      <c r="A10" s="2495">
        <v>2</v>
      </c>
      <c r="B10" s="748" t="s">
        <v>612</v>
      </c>
      <c r="C10" s="749">
        <f>C11+C14+C15</f>
        <v>0</v>
      </c>
      <c r="D10" s="760">
        <f>'数据-汇总表'!E3</f>
        <v>104884.84999999999</v>
      </c>
      <c r="E10" s="749">
        <f>'数据-取费表'!B31</f>
        <v>200</v>
      </c>
      <c r="F10" s="761"/>
      <c r="G10" s="759" t="s">
        <v>613</v>
      </c>
    </row>
    <row r="11" spans="1:25" s="2185" customFormat="1" ht="13.5" customHeight="1">
      <c r="A11" s="2495" t="s">
        <v>2440</v>
      </c>
      <c r="B11" s="752" t="s">
        <v>609</v>
      </c>
      <c r="C11" s="753">
        <f>'数据-取费表'!B29</f>
        <v>0</v>
      </c>
      <c r="D11" s="754"/>
      <c r="E11" s="753"/>
      <c r="F11" s="755"/>
      <c r="G11" s="2504" t="s">
        <v>2451</v>
      </c>
    </row>
    <row r="12" spans="1:25" s="2185" customFormat="1" ht="13.5" customHeight="1">
      <c r="A12" s="2502" t="s">
        <v>2448</v>
      </c>
      <c r="B12" s="756" t="s">
        <v>610</v>
      </c>
      <c r="C12" s="757">
        <f>ROUND(D12*E12/10000,0)</f>
        <v>1547</v>
      </c>
      <c r="D12" s="758">
        <f>'数据-汇总表'!E5</f>
        <v>103133.26999999999</v>
      </c>
      <c r="E12" s="757">
        <f>'数据-取费表'!B27</f>
        <v>150</v>
      </c>
      <c r="F12" s="755"/>
      <c r="G12" s="759"/>
    </row>
    <row r="13" spans="1:25" s="2185" customFormat="1" ht="13.5" customHeight="1">
      <c r="A13" s="2502" t="s">
        <v>2447</v>
      </c>
      <c r="B13" s="756" t="s">
        <v>611</v>
      </c>
      <c r="C13" s="757">
        <f>ROUND(D13*E13/10000,0)</f>
        <v>33</v>
      </c>
      <c r="D13" s="758">
        <f>'数据-汇总表'!E6</f>
        <v>1751.5800000000017</v>
      </c>
      <c r="E13" s="757">
        <f>'数据-取费表'!B28</f>
        <v>190</v>
      </c>
      <c r="F13" s="755"/>
      <c r="G13" s="759"/>
    </row>
    <row r="14" spans="1:25" s="2185" customFormat="1" ht="13.5" customHeight="1">
      <c r="A14" s="2495" t="s">
        <v>2441</v>
      </c>
      <c r="B14" s="2501" t="s">
        <v>2444</v>
      </c>
      <c r="C14" s="2499"/>
      <c r="D14" s="758"/>
      <c r="E14" s="757"/>
      <c r="F14" s="2500"/>
      <c r="G14" s="2503" t="s">
        <v>2449</v>
      </c>
    </row>
    <row r="15" spans="1:25" s="2185" customFormat="1" ht="13.5" customHeight="1">
      <c r="A15" s="2495" t="s">
        <v>2446</v>
      </c>
      <c r="B15" s="2501" t="s">
        <v>2445</v>
      </c>
      <c r="C15" s="2499"/>
      <c r="D15" s="758"/>
      <c r="E15" s="757"/>
      <c r="F15" s="2500"/>
      <c r="G15" s="2503" t="s">
        <v>2450</v>
      </c>
    </row>
    <row r="16" spans="1:25" s="2186" customFormat="1" ht="48">
      <c r="A16" s="2495">
        <v>3</v>
      </c>
      <c r="B16" s="748" t="s">
        <v>614</v>
      </c>
      <c r="C16" s="2499"/>
      <c r="D16" s="760"/>
      <c r="E16" s="749"/>
      <c r="F16" s="761"/>
      <c r="G16" s="759" t="s">
        <v>2452</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615</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616</v>
      </c>
      <c r="C18" s="749">
        <f>ROUND((C7+C10+C16)*F18,0)</f>
        <v>0</v>
      </c>
      <c r="D18" s="762"/>
      <c r="E18" s="763"/>
      <c r="F18" s="761">
        <f>'数据-取费表'!Q16</f>
        <v>0.2</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624</v>
      </c>
      <c r="C22" s="749">
        <f ca="1">ROUND(C21*F22,0)</f>
        <v>0</v>
      </c>
      <c r="D22" s="760"/>
      <c r="E22" s="749"/>
      <c r="F22" s="766">
        <f>'数据-取费表'!AP16</f>
        <v>0.88800000000000001</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C37" sqref="C3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9" t="s">
        <v>718</v>
      </c>
      <c r="C1" s="2650" t="s">
        <v>719</v>
      </c>
      <c r="D1" s="2651" t="s">
        <v>3327</v>
      </c>
      <c r="E1" s="2652"/>
      <c r="F1" s="2834" t="s">
        <v>3353</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465</v>
      </c>
      <c r="B2" s="2648">
        <f>ROUND(B3*D3/10000,0)</f>
        <v>164641</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84465</v>
      </c>
      <c r="C3" s="852" t="s">
        <v>721</v>
      </c>
      <c r="D3" s="851">
        <f>SUMIF('数据-汇总表'!$C19:$C33,D1,'数据-汇总表'!$E19:$E33)</f>
        <v>19492.18</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677" t="s">
        <v>521</v>
      </c>
      <c r="D4" s="3678"/>
      <c r="E4" s="3711" t="s">
        <v>522</v>
      </c>
      <c r="F4" s="3712"/>
      <c r="G4" s="3677" t="s">
        <v>523</v>
      </c>
      <c r="H4" s="3678"/>
      <c r="I4" s="3677" t="s">
        <v>524</v>
      </c>
      <c r="J4" s="3678"/>
      <c r="K4" s="853" t="s">
        <v>525</v>
      </c>
      <c r="L4" s="2135"/>
      <c r="M4" s="2136"/>
      <c r="N4" s="2136"/>
      <c r="O4" s="2136"/>
      <c r="P4" s="3679" t="s">
        <v>526</v>
      </c>
      <c r="Q4" s="3680"/>
      <c r="R4" s="3685" t="s">
        <v>522</v>
      </c>
      <c r="S4" s="3686"/>
      <c r="T4" s="3685" t="s">
        <v>523</v>
      </c>
      <c r="U4" s="3686"/>
      <c r="V4" s="3672" t="s">
        <v>524</v>
      </c>
      <c r="W4" s="3672"/>
      <c r="X4" s="3491"/>
      <c r="Y4" s="3685" t="s">
        <v>526</v>
      </c>
      <c r="Z4" s="3686"/>
      <c r="AA4" s="3674" t="s">
        <v>522</v>
      </c>
      <c r="AB4" s="3674" t="s">
        <v>523</v>
      </c>
      <c r="AC4" s="3674" t="s">
        <v>524</v>
      </c>
    </row>
    <row r="5" spans="1:29" ht="15">
      <c r="A5" s="515"/>
      <c r="B5" s="516"/>
      <c r="C5" s="3693" t="s">
        <v>2930</v>
      </c>
      <c r="D5" s="3694"/>
      <c r="E5" s="3788" t="s">
        <v>3318</v>
      </c>
      <c r="F5" s="3714"/>
      <c r="G5" s="3789" t="s">
        <v>3355</v>
      </c>
      <c r="H5" s="3694"/>
      <c r="I5" s="3789" t="s">
        <v>3358</v>
      </c>
      <c r="J5" s="3694"/>
      <c r="K5" s="854"/>
      <c r="L5" s="2135"/>
      <c r="M5" s="2136"/>
      <c r="N5" s="2136"/>
      <c r="O5" s="2136"/>
      <c r="P5" s="3681"/>
      <c r="Q5" s="3682"/>
      <c r="R5" s="3687"/>
      <c r="S5" s="3688"/>
      <c r="T5" s="3687"/>
      <c r="U5" s="3688"/>
      <c r="V5" s="3672"/>
      <c r="W5" s="3672"/>
      <c r="X5" s="3491"/>
      <c r="Y5" s="3687"/>
      <c r="Z5" s="3688"/>
      <c r="AA5" s="3675"/>
      <c r="AB5" s="3675"/>
      <c r="AC5" s="3675"/>
    </row>
    <row r="6" spans="1:29" ht="33" customHeight="1" thickBot="1">
      <c r="A6" s="517"/>
      <c r="B6" s="518"/>
      <c r="C6" s="3691" t="s">
        <v>2934</v>
      </c>
      <c r="D6" s="3692"/>
      <c r="E6" s="3786" t="s">
        <v>3351</v>
      </c>
      <c r="F6" s="3710"/>
      <c r="G6" s="3787" t="s">
        <v>3354</v>
      </c>
      <c r="H6" s="3692"/>
      <c r="I6" s="3787" t="s">
        <v>3359</v>
      </c>
      <c r="J6" s="3692"/>
      <c r="K6" s="854" t="s">
        <v>527</v>
      </c>
      <c r="L6" s="2135"/>
      <c r="M6" s="2136"/>
      <c r="N6" s="2136"/>
      <c r="O6" s="2136"/>
      <c r="P6" s="3683"/>
      <c r="Q6" s="3684"/>
      <c r="R6" s="3687"/>
      <c r="S6" s="3688"/>
      <c r="T6" s="3689"/>
      <c r="U6" s="3690"/>
      <c r="V6" s="3672"/>
      <c r="W6" s="3672"/>
      <c r="X6" s="3491"/>
      <c r="Y6" s="3689"/>
      <c r="Z6" s="3690"/>
      <c r="AA6" s="3676"/>
      <c r="AB6" s="3676"/>
      <c r="AC6" s="3676"/>
    </row>
    <row r="7" spans="1:29" s="1220" customFormat="1" ht="15.75" thickBot="1">
      <c r="A7" s="2939"/>
      <c r="B7" s="2946" t="s">
        <v>528</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702" t="s">
        <v>529</v>
      </c>
      <c r="Q7" s="3704"/>
      <c r="R7" s="1569" t="s">
        <v>13</v>
      </c>
      <c r="S7" s="1570">
        <f t="shared" ref="S7:S15" si="0">F7</f>
        <v>100</v>
      </c>
      <c r="T7" s="1569" t="s">
        <v>13</v>
      </c>
      <c r="U7" s="1570">
        <f t="shared" ref="U7:U15" si="1">H7</f>
        <v>100</v>
      </c>
      <c r="V7" s="1569" t="s">
        <v>13</v>
      </c>
      <c r="W7" s="1570">
        <f t="shared" ref="W7:W15" si="2">J7</f>
        <v>100</v>
      </c>
      <c r="X7" s="1571"/>
      <c r="Y7" s="3702" t="s">
        <v>529</v>
      </c>
      <c r="Z7" s="3703"/>
      <c r="AA7" s="1572">
        <f>D7/F7</f>
        <v>1</v>
      </c>
      <c r="AB7" s="1572">
        <f>D7/H7</f>
        <v>1</v>
      </c>
      <c r="AC7" s="1572">
        <f>D7/J7</f>
        <v>1</v>
      </c>
    </row>
    <row r="8" spans="1:29" s="1220" customFormat="1" ht="15.75" thickBot="1">
      <c r="A8" s="2940"/>
      <c r="B8" s="2947"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37"/>
      <c r="M8" s="2138"/>
      <c r="N8" s="2138"/>
      <c r="O8" s="2138"/>
      <c r="P8" s="3702" t="s">
        <v>532</v>
      </c>
      <c r="Q8" s="3703"/>
      <c r="R8" s="1569" t="s">
        <v>13</v>
      </c>
      <c r="S8" s="1570">
        <f t="shared" si="0"/>
        <v>100</v>
      </c>
      <c r="T8" s="1569" t="s">
        <v>13</v>
      </c>
      <c r="U8" s="1570">
        <f t="shared" si="1"/>
        <v>100</v>
      </c>
      <c r="V8" s="1569" t="s">
        <v>13</v>
      </c>
      <c r="W8" s="1570">
        <f t="shared" si="2"/>
        <v>100</v>
      </c>
      <c r="X8" s="1571"/>
      <c r="Y8" s="3702" t="s">
        <v>532</v>
      </c>
      <c r="Z8" s="3703"/>
      <c r="AA8" s="1572">
        <f t="shared" ref="AA8:AA46" si="3">D8/F8</f>
        <v>1</v>
      </c>
      <c r="AB8" s="1572">
        <f t="shared" ref="AB8:AB46" si="4">D8/H8</f>
        <v>1</v>
      </c>
      <c r="AC8" s="1572">
        <f t="shared" ref="AC8:AC46" si="5">D8/J8</f>
        <v>1</v>
      </c>
    </row>
    <row r="9" spans="1:29" s="1220" customFormat="1" ht="15">
      <c r="A9" s="2941"/>
      <c r="B9" s="2948" t="s">
        <v>2758</v>
      </c>
      <c r="C9" s="3493" t="s">
        <v>3319</v>
      </c>
      <c r="D9" s="254">
        <v>100</v>
      </c>
      <c r="E9" s="3493" t="s">
        <v>3319</v>
      </c>
      <c r="F9" s="859">
        <f>SUMIF(63:63,E9,64:64)-SUMIF(63:63,C9,64:64)+100</f>
        <v>100</v>
      </c>
      <c r="G9" s="3493" t="s">
        <v>3319</v>
      </c>
      <c r="H9" s="254">
        <f>SUMIF(63:63,G9,64:64)-SUMIF(63:63,C9,64:64)+100</f>
        <v>100</v>
      </c>
      <c r="I9" s="3493" t="s">
        <v>3319</v>
      </c>
      <c r="J9" s="254">
        <f>SUMIF(63:63,I9,64:64)-SUMIF(63:63,C9,64:64)+100</f>
        <v>100</v>
      </c>
      <c r="K9" s="855"/>
      <c r="L9" s="2137"/>
      <c r="M9" s="2138"/>
      <c r="N9" s="2138"/>
      <c r="O9" s="2139"/>
      <c r="P9" s="3671" t="s">
        <v>534</v>
      </c>
      <c r="Q9" s="3487" t="str">
        <f t="shared" ref="Q9:Q15" si="6">B9</f>
        <v>用途</v>
      </c>
      <c r="R9" s="1569" t="s">
        <v>8</v>
      </c>
      <c r="S9" s="1570">
        <f t="shared" si="0"/>
        <v>100</v>
      </c>
      <c r="T9" s="1569" t="s">
        <v>8</v>
      </c>
      <c r="U9" s="1570">
        <f t="shared" si="1"/>
        <v>100</v>
      </c>
      <c r="V9" s="1569" t="s">
        <v>8</v>
      </c>
      <c r="W9" s="1570">
        <f t="shared" si="2"/>
        <v>100</v>
      </c>
      <c r="X9" s="1571"/>
      <c r="Y9" s="3617" t="s">
        <v>535</v>
      </c>
      <c r="Z9" s="3486" t="str">
        <f t="shared" ref="Z9:Z15" si="7">Q9</f>
        <v>用途</v>
      </c>
      <c r="AA9" s="1572">
        <f t="shared" si="3"/>
        <v>1</v>
      </c>
      <c r="AB9" s="1572">
        <f t="shared" si="4"/>
        <v>1</v>
      </c>
      <c r="AC9" s="1572">
        <f t="shared" si="5"/>
        <v>1</v>
      </c>
    </row>
    <row r="10" spans="1:29" s="1338" customFormat="1" ht="27">
      <c r="A10" s="2942"/>
      <c r="B10" s="2947" t="s">
        <v>2759</v>
      </c>
      <c r="C10" s="861" t="s">
        <v>3321</v>
      </c>
      <c r="D10" s="255">
        <v>100</v>
      </c>
      <c r="E10" s="862" t="s">
        <v>3320</v>
      </c>
      <c r="F10" s="863">
        <f>SUMIF(65:65,E10,66:66)-SUMIF(65:65,C10,66:66)+100</f>
        <v>102</v>
      </c>
      <c r="G10" s="862" t="s">
        <v>3320</v>
      </c>
      <c r="H10" s="255">
        <f>SUMIF(65:65,G10,66:66)-SUMIF(65:65,C10,66:66)+100</f>
        <v>102</v>
      </c>
      <c r="I10" s="862" t="s">
        <v>3320</v>
      </c>
      <c r="J10" s="255">
        <f>SUMIF(65:65,I10,66:66)-SUMIF(65:65,C10,66:66)+100</f>
        <v>102</v>
      </c>
      <c r="K10" s="864">
        <v>1</v>
      </c>
      <c r="L10" s="2140"/>
      <c r="M10" s="2180"/>
      <c r="N10" s="2180"/>
      <c r="O10" s="2141"/>
      <c r="P10" s="3671"/>
      <c r="Q10" s="3487" t="str">
        <f t="shared" si="6"/>
        <v>土地使用年限（年）</v>
      </c>
      <c r="R10" s="1569" t="s">
        <v>8</v>
      </c>
      <c r="S10" s="1570">
        <f t="shared" si="0"/>
        <v>102</v>
      </c>
      <c r="T10" s="1569" t="s">
        <v>8</v>
      </c>
      <c r="U10" s="1570">
        <f t="shared" si="1"/>
        <v>102</v>
      </c>
      <c r="V10" s="1569" t="s">
        <v>8</v>
      </c>
      <c r="W10" s="1570">
        <f t="shared" si="2"/>
        <v>102</v>
      </c>
      <c r="X10" s="1571"/>
      <c r="Y10" s="3617"/>
      <c r="Z10" s="3486" t="str">
        <f t="shared" si="7"/>
        <v>土地使用年限（年）</v>
      </c>
      <c r="AA10" s="1572">
        <f t="shared" si="3"/>
        <v>0.98039215686274506</v>
      </c>
      <c r="AB10" s="1572">
        <f t="shared" si="4"/>
        <v>0.98039215686274506</v>
      </c>
      <c r="AC10" s="1572">
        <f t="shared" si="5"/>
        <v>0.98039215686274506</v>
      </c>
    </row>
    <row r="11" spans="1:29" ht="15">
      <c r="A11" s="2943"/>
      <c r="B11" s="2947" t="s">
        <v>2760</v>
      </c>
      <c r="C11" s="533">
        <f>'数据-汇总表'!I6</f>
        <v>1.05</v>
      </c>
      <c r="D11" s="255">
        <v>100</v>
      </c>
      <c r="E11" s="534">
        <v>1.08</v>
      </c>
      <c r="F11" s="863">
        <f>LOOKUP(E11,68:68,69:69)-LOOKUP(C11,68:68,69:69)+100</f>
        <v>100</v>
      </c>
      <c r="G11" s="534">
        <v>1</v>
      </c>
      <c r="H11" s="255">
        <f>LOOKUP(G11,68:68,69:69)-LOOKUP(C11,68:68,69:69)+100</f>
        <v>100</v>
      </c>
      <c r="I11" s="533">
        <v>0.9</v>
      </c>
      <c r="J11" s="255">
        <f>LOOKUP(I11,68:68,69:69)-LOOKUP(C11,68:68,69:69)+100</f>
        <v>101</v>
      </c>
      <c r="K11" s="864">
        <v>1</v>
      </c>
      <c r="L11" s="2142"/>
      <c r="M11" s="2136"/>
      <c r="N11" s="2136"/>
      <c r="O11" s="2143"/>
      <c r="P11" s="3671"/>
      <c r="Q11" s="3487" t="str">
        <f t="shared" si="6"/>
        <v>容积率</v>
      </c>
      <c r="R11" s="1569" t="s">
        <v>11</v>
      </c>
      <c r="S11" s="1570">
        <f t="shared" si="0"/>
        <v>100</v>
      </c>
      <c r="T11" s="1569" t="s">
        <v>11</v>
      </c>
      <c r="U11" s="1570">
        <f t="shared" si="1"/>
        <v>100</v>
      </c>
      <c r="V11" s="1569" t="s">
        <v>11</v>
      </c>
      <c r="W11" s="1570">
        <f t="shared" si="2"/>
        <v>101</v>
      </c>
      <c r="X11" s="1571"/>
      <c r="Y11" s="3617"/>
      <c r="Z11" s="3486" t="str">
        <f t="shared" si="7"/>
        <v>容积率</v>
      </c>
      <c r="AA11" s="1572">
        <f t="shared" si="3"/>
        <v>1</v>
      </c>
      <c r="AB11" s="1572">
        <f t="shared" si="4"/>
        <v>1</v>
      </c>
      <c r="AC11" s="1572">
        <f t="shared" si="5"/>
        <v>0.99009900990099009</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71"/>
      <c r="Q12" s="3487">
        <f t="shared" si="6"/>
        <v>111</v>
      </c>
      <c r="R12" s="1569" t="s">
        <v>11</v>
      </c>
      <c r="S12" s="1570">
        <f t="shared" si="0"/>
        <v>100</v>
      </c>
      <c r="T12" s="1569" t="s">
        <v>11</v>
      </c>
      <c r="U12" s="1570">
        <f t="shared" si="1"/>
        <v>100</v>
      </c>
      <c r="V12" s="1569" t="s">
        <v>11</v>
      </c>
      <c r="W12" s="1570">
        <f t="shared" si="2"/>
        <v>100</v>
      </c>
      <c r="X12" s="1571"/>
      <c r="Y12" s="3617"/>
      <c r="Z12" s="3486">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71"/>
      <c r="Q13" s="3487">
        <f t="shared" si="6"/>
        <v>111</v>
      </c>
      <c r="R13" s="1569" t="s">
        <v>11</v>
      </c>
      <c r="S13" s="1570">
        <f t="shared" si="0"/>
        <v>100</v>
      </c>
      <c r="T13" s="1569" t="s">
        <v>11</v>
      </c>
      <c r="U13" s="1570">
        <f t="shared" si="1"/>
        <v>100</v>
      </c>
      <c r="V13" s="1569" t="s">
        <v>11</v>
      </c>
      <c r="W13" s="1570">
        <f t="shared" si="2"/>
        <v>100</v>
      </c>
      <c r="X13" s="1571"/>
      <c r="Y13" s="3617"/>
      <c r="Z13" s="3486">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71"/>
      <c r="Q14" s="3487">
        <f t="shared" si="6"/>
        <v>111</v>
      </c>
      <c r="R14" s="1569" t="s">
        <v>11</v>
      </c>
      <c r="S14" s="1570">
        <f t="shared" si="0"/>
        <v>100</v>
      </c>
      <c r="T14" s="1569" t="s">
        <v>11</v>
      </c>
      <c r="U14" s="1570">
        <f t="shared" si="1"/>
        <v>100</v>
      </c>
      <c r="V14" s="1569" t="s">
        <v>11</v>
      </c>
      <c r="W14" s="1570">
        <f t="shared" si="2"/>
        <v>100</v>
      </c>
      <c r="X14" s="1571"/>
      <c r="Y14" s="3617"/>
      <c r="Z14" s="3486">
        <f t="shared" si="7"/>
        <v>111</v>
      </c>
      <c r="AA14" s="1572">
        <f t="shared" si="3"/>
        <v>1</v>
      </c>
      <c r="AB14" s="1572">
        <f t="shared" si="4"/>
        <v>1</v>
      </c>
      <c r="AC14" s="1572">
        <f t="shared" si="5"/>
        <v>1</v>
      </c>
    </row>
    <row r="15" spans="1:29" ht="99.75">
      <c r="A15" s="2937" t="s">
        <v>2756</v>
      </c>
      <c r="B15" s="166" t="s">
        <v>293</v>
      </c>
      <c r="C15" s="867" t="str">
        <f>估价对象房地状况!C3</f>
        <v>估价对象周边居住用地比例、居住小区规模和社区发展完善程度，综合评价居住社区成熟度一般</v>
      </c>
      <c r="D15" s="549">
        <v>100</v>
      </c>
      <c r="E15" s="3497" t="s">
        <v>3356</v>
      </c>
      <c r="F15" s="551">
        <f>SUMIF(76:76,E16,77:77)-SUMIF(76:76,C16,77:77)+100</f>
        <v>110</v>
      </c>
      <c r="G15" s="3497" t="s">
        <v>3357</v>
      </c>
      <c r="H15" s="549">
        <f>SUMIF(76:76,G16,77:77)-SUMIF(76:76,C16,77:77)+100</f>
        <v>110</v>
      </c>
      <c r="I15" s="3497"/>
      <c r="J15" s="549">
        <f>SUMIF(76:76,I16,77:77)-SUMIF(76:76,C16,77:77)+100</f>
        <v>100</v>
      </c>
      <c r="K15" s="868">
        <v>10</v>
      </c>
      <c r="L15" s="2144"/>
      <c r="M15" s="2136"/>
      <c r="N15" s="2136"/>
      <c r="O15" s="2143"/>
      <c r="P15" s="3705" t="s">
        <v>539</v>
      </c>
      <c r="Q15" s="3489" t="str">
        <f t="shared" si="6"/>
        <v>居住社区成熟度</v>
      </c>
      <c r="R15" s="1574" t="s">
        <v>11</v>
      </c>
      <c r="S15" s="1575">
        <f t="shared" si="0"/>
        <v>110</v>
      </c>
      <c r="T15" s="1574" t="s">
        <v>11</v>
      </c>
      <c r="U15" s="1575">
        <f t="shared" si="1"/>
        <v>110</v>
      </c>
      <c r="V15" s="1574" t="s">
        <v>11</v>
      </c>
      <c r="W15" s="1575">
        <f t="shared" si="2"/>
        <v>100</v>
      </c>
      <c r="X15" s="3491"/>
      <c r="Y15" s="3705" t="s">
        <v>539</v>
      </c>
      <c r="Z15" s="3490" t="str">
        <f t="shared" si="7"/>
        <v>居住社区成熟度</v>
      </c>
      <c r="AA15" s="3492">
        <f t="shared" si="3"/>
        <v>0.90909090909090906</v>
      </c>
      <c r="AB15" s="3492">
        <f t="shared" si="4"/>
        <v>0.90909090909090906</v>
      </c>
      <c r="AC15" s="3492">
        <f t="shared" si="5"/>
        <v>1</v>
      </c>
    </row>
    <row r="16" spans="1:29" ht="15">
      <c r="A16" s="532"/>
      <c r="B16" s="869"/>
      <c r="C16" s="576" t="s">
        <v>3256</v>
      </c>
      <c r="D16" s="555"/>
      <c r="E16" s="556" t="s">
        <v>3257</v>
      </c>
      <c r="F16" s="557"/>
      <c r="G16" s="556" t="s">
        <v>3257</v>
      </c>
      <c r="H16" s="559"/>
      <c r="I16" s="576" t="s">
        <v>3256</v>
      </c>
      <c r="J16" s="555"/>
      <c r="K16" s="870"/>
      <c r="L16" s="2144"/>
      <c r="M16" s="2136"/>
      <c r="N16" s="2136"/>
      <c r="O16" s="2143"/>
      <c r="P16" s="3706"/>
      <c r="Q16" s="3489"/>
      <c r="R16" s="1574"/>
      <c r="S16" s="1575"/>
      <c r="T16" s="1574"/>
      <c r="U16" s="1575"/>
      <c r="V16" s="1574"/>
      <c r="W16" s="1575"/>
      <c r="X16" s="3491"/>
      <c r="Y16" s="3706"/>
      <c r="Z16" s="3490"/>
      <c r="AA16" s="3492">
        <v>1</v>
      </c>
      <c r="AB16" s="3492">
        <v>1</v>
      </c>
      <c r="AC16" s="3492">
        <v>1</v>
      </c>
    </row>
    <row r="17" spans="1:29" ht="85.5">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706"/>
      <c r="Q17" s="3489" t="str">
        <f>B17</f>
        <v>交通便捷度</v>
      </c>
      <c r="R17" s="1574" t="s">
        <v>11</v>
      </c>
      <c r="S17" s="1575">
        <f>F17</f>
        <v>100</v>
      </c>
      <c r="T17" s="1574" t="s">
        <v>11</v>
      </c>
      <c r="U17" s="1575">
        <f>H17</f>
        <v>100</v>
      </c>
      <c r="V17" s="1574" t="s">
        <v>11</v>
      </c>
      <c r="W17" s="1575">
        <f>J17</f>
        <v>98</v>
      </c>
      <c r="X17" s="3491"/>
      <c r="Y17" s="3706"/>
      <c r="Z17" s="3490" t="str">
        <f>Q17</f>
        <v>交通便捷度</v>
      </c>
      <c r="AA17" s="3492">
        <f t="shared" si="3"/>
        <v>1</v>
      </c>
      <c r="AB17" s="3492">
        <f t="shared" si="4"/>
        <v>1</v>
      </c>
      <c r="AC17" s="3492">
        <f t="shared" si="5"/>
        <v>1.0204081632653061</v>
      </c>
    </row>
    <row r="18" spans="1:29" ht="15">
      <c r="A18" s="532"/>
      <c r="B18" s="595"/>
      <c r="C18" s="873" t="s">
        <v>3257</v>
      </c>
      <c r="D18" s="559"/>
      <c r="E18" s="568" t="s">
        <v>3257</v>
      </c>
      <c r="F18" s="563"/>
      <c r="G18" s="568" t="s">
        <v>3257</v>
      </c>
      <c r="H18" s="555"/>
      <c r="I18" s="568" t="s">
        <v>3256</v>
      </c>
      <c r="J18" s="555"/>
      <c r="K18" s="870"/>
      <c r="L18" s="2144"/>
      <c r="M18" s="2136"/>
      <c r="N18" s="2136"/>
      <c r="O18" s="2143"/>
      <c r="P18" s="3706"/>
      <c r="Q18" s="3489"/>
      <c r="R18" s="1574"/>
      <c r="S18" s="1575"/>
      <c r="T18" s="1574"/>
      <c r="U18" s="1575"/>
      <c r="V18" s="1574"/>
      <c r="W18" s="1575"/>
      <c r="X18" s="3491"/>
      <c r="Y18" s="3706"/>
      <c r="Z18" s="3490"/>
      <c r="AA18" s="3492">
        <v>1</v>
      </c>
      <c r="AB18" s="3492">
        <v>1</v>
      </c>
      <c r="AC18" s="3492">
        <v>1</v>
      </c>
    </row>
    <row r="19" spans="1:29" ht="42.75">
      <c r="A19" s="532"/>
      <c r="B19" s="2626" t="s">
        <v>2548</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706"/>
      <c r="Q19" s="3489" t="str">
        <f>B19</f>
        <v>公共配套设施</v>
      </c>
      <c r="R19" s="1574" t="s">
        <v>11</v>
      </c>
      <c r="S19" s="1575">
        <f>F19</f>
        <v>100</v>
      </c>
      <c r="T19" s="1574" t="s">
        <v>11</v>
      </c>
      <c r="U19" s="1575">
        <f>H19</f>
        <v>100</v>
      </c>
      <c r="V19" s="1574" t="s">
        <v>11</v>
      </c>
      <c r="W19" s="1575">
        <f>J19</f>
        <v>100</v>
      </c>
      <c r="X19" s="3491"/>
      <c r="Y19" s="3706"/>
      <c r="Z19" s="3490" t="str">
        <f>Q19</f>
        <v>公共配套设施</v>
      </c>
      <c r="AA19" s="3492">
        <f t="shared" si="3"/>
        <v>1</v>
      </c>
      <c r="AB19" s="3492">
        <f t="shared" si="4"/>
        <v>1</v>
      </c>
      <c r="AC19" s="3492">
        <f t="shared" si="5"/>
        <v>1</v>
      </c>
    </row>
    <row r="20" spans="1:29" ht="15">
      <c r="A20" s="532"/>
      <c r="B20" s="595"/>
      <c r="C20" s="576" t="s">
        <v>3257</v>
      </c>
      <c r="D20" s="555"/>
      <c r="E20" s="556" t="s">
        <v>3257</v>
      </c>
      <c r="F20" s="557"/>
      <c r="G20" s="556" t="s">
        <v>3257</v>
      </c>
      <c r="H20" s="555"/>
      <c r="I20" s="556" t="s">
        <v>3257</v>
      </c>
      <c r="J20" s="555"/>
      <c r="K20" s="870"/>
      <c r="L20" s="2144"/>
      <c r="M20" s="2136"/>
      <c r="N20" s="2136"/>
      <c r="O20" s="2143"/>
      <c r="P20" s="3706"/>
      <c r="Q20" s="3489"/>
      <c r="R20" s="1574"/>
      <c r="S20" s="1575"/>
      <c r="T20" s="1574"/>
      <c r="U20" s="1575"/>
      <c r="V20" s="1574"/>
      <c r="W20" s="1575"/>
      <c r="X20" s="3491"/>
      <c r="Y20" s="3706"/>
      <c r="Z20" s="3490"/>
      <c r="AA20" s="3492">
        <v>1</v>
      </c>
      <c r="AB20" s="3492">
        <v>1</v>
      </c>
      <c r="AC20" s="3492">
        <v>1</v>
      </c>
    </row>
    <row r="21" spans="1:29" ht="28.5">
      <c r="A21" s="532"/>
      <c r="B21" s="2619" t="s">
        <v>2549</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706"/>
      <c r="Q21" s="3489" t="str">
        <f>B21</f>
        <v>基础设施水平</v>
      </c>
      <c r="R21" s="1574" t="s">
        <v>11</v>
      </c>
      <c r="S21" s="1575">
        <f>F21</f>
        <v>100</v>
      </c>
      <c r="T21" s="1574" t="s">
        <v>11</v>
      </c>
      <c r="U21" s="1575">
        <f>H21</f>
        <v>100</v>
      </c>
      <c r="V21" s="1574" t="s">
        <v>11</v>
      </c>
      <c r="W21" s="1575">
        <f>J21</f>
        <v>100</v>
      </c>
      <c r="X21" s="3491"/>
      <c r="Y21" s="3706"/>
      <c r="Z21" s="3490" t="str">
        <f>Q21</f>
        <v>基础设施水平</v>
      </c>
      <c r="AA21" s="3492">
        <f t="shared" ref="AA21" si="8">D21/F21</f>
        <v>1</v>
      </c>
      <c r="AB21" s="3492">
        <f t="shared" ref="AB21" si="9">D21/H21</f>
        <v>1</v>
      </c>
      <c r="AC21" s="3492">
        <f t="shared" ref="AC21" si="10">D21/J21</f>
        <v>1</v>
      </c>
    </row>
    <row r="22" spans="1:29" ht="15">
      <c r="A22" s="532"/>
      <c r="B22" s="922"/>
      <c r="C22" s="873" t="s">
        <v>3258</v>
      </c>
      <c r="D22" s="555"/>
      <c r="E22" s="576" t="s">
        <v>3258</v>
      </c>
      <c r="F22" s="557"/>
      <c r="G22" s="576" t="s">
        <v>3258</v>
      </c>
      <c r="H22" s="555"/>
      <c r="I22" s="576" t="s">
        <v>3258</v>
      </c>
      <c r="J22" s="555"/>
      <c r="K22" s="2625"/>
      <c r="L22" s="2144"/>
      <c r="M22" s="2136"/>
      <c r="N22" s="2136"/>
      <c r="O22" s="2143"/>
      <c r="P22" s="3706"/>
      <c r="Q22" s="3489"/>
      <c r="R22" s="1574"/>
      <c r="S22" s="1575"/>
      <c r="T22" s="1574"/>
      <c r="U22" s="1575"/>
      <c r="V22" s="1574"/>
      <c r="W22" s="1575"/>
      <c r="X22" s="3491"/>
      <c r="Y22" s="3706"/>
      <c r="Z22" s="3490"/>
      <c r="AA22" s="3492">
        <v>1</v>
      </c>
      <c r="AB22" s="3492">
        <v>1</v>
      </c>
      <c r="AC22" s="3492">
        <v>1</v>
      </c>
    </row>
    <row r="23" spans="1:29" ht="57">
      <c r="A23" s="532"/>
      <c r="B23" s="871" t="s">
        <v>295</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706"/>
      <c r="Q23" s="3489" t="str">
        <f>B23</f>
        <v>自然及人文环境</v>
      </c>
      <c r="R23" s="1574" t="s">
        <v>11</v>
      </c>
      <c r="S23" s="1575">
        <f>F23</f>
        <v>102</v>
      </c>
      <c r="T23" s="1574" t="s">
        <v>11</v>
      </c>
      <c r="U23" s="1575">
        <f>H23</f>
        <v>102</v>
      </c>
      <c r="V23" s="1574" t="s">
        <v>11</v>
      </c>
      <c r="W23" s="1575">
        <f>J23</f>
        <v>102</v>
      </c>
      <c r="X23" s="3491"/>
      <c r="Y23" s="3706"/>
      <c r="Z23" s="3490" t="str">
        <f>Q23</f>
        <v>自然及人文环境</v>
      </c>
      <c r="AA23" s="3492">
        <f t="shared" si="3"/>
        <v>0.98039215686274506</v>
      </c>
      <c r="AB23" s="3492">
        <f t="shared" si="4"/>
        <v>0.98039215686274506</v>
      </c>
      <c r="AC23" s="3492">
        <f t="shared" si="5"/>
        <v>0.98039215686274506</v>
      </c>
    </row>
    <row r="24" spans="1:29" ht="15">
      <c r="A24" s="532"/>
      <c r="B24" s="595"/>
      <c r="C24" s="576" t="s">
        <v>3256</v>
      </c>
      <c r="D24" s="555"/>
      <c r="E24" s="556" t="s">
        <v>3257</v>
      </c>
      <c r="F24" s="557"/>
      <c r="G24" s="556" t="s">
        <v>3257</v>
      </c>
      <c r="H24" s="555"/>
      <c r="I24" s="556" t="s">
        <v>3257</v>
      </c>
      <c r="J24" s="555"/>
      <c r="K24" s="870"/>
      <c r="L24" s="2144"/>
      <c r="M24" s="2136"/>
      <c r="N24" s="2136"/>
      <c r="O24" s="2143"/>
      <c r="P24" s="3706"/>
      <c r="Q24" s="3489"/>
      <c r="R24" s="1574"/>
      <c r="S24" s="1575"/>
      <c r="T24" s="1574"/>
      <c r="U24" s="1575"/>
      <c r="V24" s="1574"/>
      <c r="W24" s="1575"/>
      <c r="X24" s="3491"/>
      <c r="Y24" s="3706"/>
      <c r="Z24" s="3490"/>
      <c r="AA24" s="3492">
        <v>1</v>
      </c>
      <c r="AB24" s="3492">
        <v>1</v>
      </c>
      <c r="AC24" s="3492">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06"/>
      <c r="Q25" s="3489" t="str">
        <f t="shared" ref="Q25:Q46" si="11">B25</f>
        <v>楼层-1</v>
      </c>
      <c r="R25" s="1574" t="s">
        <v>11</v>
      </c>
      <c r="S25" s="1575">
        <f>F25</f>
        <v>100</v>
      </c>
      <c r="T25" s="1574" t="s">
        <v>11</v>
      </c>
      <c r="U25" s="1575">
        <f>H25</f>
        <v>100</v>
      </c>
      <c r="V25" s="1574" t="s">
        <v>11</v>
      </c>
      <c r="W25" s="1575">
        <f>J25</f>
        <v>100</v>
      </c>
      <c r="X25" s="3491"/>
      <c r="Y25" s="3706"/>
      <c r="Z25" s="3490" t="str">
        <f>Q25</f>
        <v>楼层-1</v>
      </c>
      <c r="AA25" s="3492">
        <f t="shared" si="3"/>
        <v>1</v>
      </c>
      <c r="AB25" s="3492">
        <f t="shared" si="4"/>
        <v>1</v>
      </c>
      <c r="AC25" s="349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06"/>
      <c r="Q26" s="3489" t="str">
        <f t="shared" si="11"/>
        <v>朝向</v>
      </c>
      <c r="R26" s="1574" t="s">
        <v>11</v>
      </c>
      <c r="S26" s="1575">
        <f>F26</f>
        <v>100</v>
      </c>
      <c r="T26" s="1574" t="s">
        <v>11</v>
      </c>
      <c r="U26" s="1575">
        <f>H26</f>
        <v>100</v>
      </c>
      <c r="V26" s="1574" t="s">
        <v>11</v>
      </c>
      <c r="W26" s="1575">
        <f>J26</f>
        <v>100</v>
      </c>
      <c r="X26" s="3491"/>
      <c r="Y26" s="3706"/>
      <c r="Z26" s="3490" t="str">
        <f>Q26</f>
        <v>朝向</v>
      </c>
      <c r="AA26" s="3492">
        <f t="shared" si="3"/>
        <v>1</v>
      </c>
      <c r="AB26" s="3492">
        <f t="shared" si="4"/>
        <v>1</v>
      </c>
      <c r="AC26" s="3492">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706"/>
      <c r="Q27" s="3487" t="str">
        <f t="shared" si="11"/>
        <v>道路级别</v>
      </c>
      <c r="R27" s="1569" t="s">
        <v>11</v>
      </c>
      <c r="S27" s="1570">
        <f>F27</f>
        <v>100</v>
      </c>
      <c r="T27" s="1569" t="s">
        <v>11</v>
      </c>
      <c r="U27" s="1570">
        <f>H27</f>
        <v>100</v>
      </c>
      <c r="V27" s="1569" t="s">
        <v>11</v>
      </c>
      <c r="W27" s="1570">
        <f>J27</f>
        <v>100</v>
      </c>
      <c r="X27" s="1571"/>
      <c r="Y27" s="3706"/>
      <c r="Z27" s="3486" t="str">
        <f>Q27</f>
        <v>道路级别</v>
      </c>
      <c r="AA27" s="3492">
        <f>D27/F27</f>
        <v>1</v>
      </c>
      <c r="AB27" s="3492">
        <f>D27/H27</f>
        <v>1</v>
      </c>
      <c r="AC27" s="349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06"/>
      <c r="Q28" s="3489">
        <f t="shared" si="11"/>
        <v>111</v>
      </c>
      <c r="R28" s="1574" t="s">
        <v>11</v>
      </c>
      <c r="S28" s="1575">
        <f t="shared" ref="S28:S46" si="12">F28</f>
        <v>100</v>
      </c>
      <c r="T28" s="1574" t="s">
        <v>11</v>
      </c>
      <c r="U28" s="1575">
        <f t="shared" ref="U28:U46" si="13">H28</f>
        <v>100</v>
      </c>
      <c r="V28" s="1574" t="s">
        <v>11</v>
      </c>
      <c r="W28" s="1575">
        <f t="shared" ref="W28:W46" si="14">J28</f>
        <v>100</v>
      </c>
      <c r="X28" s="3491"/>
      <c r="Y28" s="3706"/>
      <c r="Z28" s="3490">
        <f t="shared" ref="Z28:Z46" si="15">Q28</f>
        <v>111</v>
      </c>
      <c r="AA28" s="3492">
        <f t="shared" si="3"/>
        <v>1</v>
      </c>
      <c r="AB28" s="3492">
        <f t="shared" si="4"/>
        <v>1</v>
      </c>
      <c r="AC28" s="349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06"/>
      <c r="Q29" s="3489">
        <f t="shared" si="11"/>
        <v>111</v>
      </c>
      <c r="R29" s="1574" t="s">
        <v>11</v>
      </c>
      <c r="S29" s="1575">
        <f t="shared" si="12"/>
        <v>100</v>
      </c>
      <c r="T29" s="1574" t="s">
        <v>11</v>
      </c>
      <c r="U29" s="1575">
        <f t="shared" si="13"/>
        <v>100</v>
      </c>
      <c r="V29" s="1574" t="s">
        <v>11</v>
      </c>
      <c r="W29" s="1575">
        <f t="shared" si="14"/>
        <v>100</v>
      </c>
      <c r="X29" s="3491"/>
      <c r="Y29" s="3706"/>
      <c r="Z29" s="3490">
        <f t="shared" si="15"/>
        <v>111</v>
      </c>
      <c r="AA29" s="3492">
        <f t="shared" si="3"/>
        <v>1</v>
      </c>
      <c r="AB29" s="3492">
        <f t="shared" si="4"/>
        <v>1</v>
      </c>
      <c r="AC29" s="349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06"/>
      <c r="Q30" s="3489">
        <f t="shared" si="11"/>
        <v>111</v>
      </c>
      <c r="R30" s="1574" t="s">
        <v>11</v>
      </c>
      <c r="S30" s="1575">
        <f t="shared" si="12"/>
        <v>100</v>
      </c>
      <c r="T30" s="1574" t="s">
        <v>11</v>
      </c>
      <c r="U30" s="1575">
        <f t="shared" si="13"/>
        <v>100</v>
      </c>
      <c r="V30" s="1574" t="s">
        <v>11</v>
      </c>
      <c r="W30" s="1575">
        <f t="shared" si="14"/>
        <v>100</v>
      </c>
      <c r="X30" s="3491"/>
      <c r="Y30" s="3706"/>
      <c r="Z30" s="3490">
        <f t="shared" si="15"/>
        <v>111</v>
      </c>
      <c r="AA30" s="3492">
        <f t="shared" si="3"/>
        <v>1</v>
      </c>
      <c r="AB30" s="3492">
        <f t="shared" si="4"/>
        <v>1</v>
      </c>
      <c r="AC30" s="349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06"/>
      <c r="Q31" s="3489">
        <f t="shared" si="11"/>
        <v>111</v>
      </c>
      <c r="R31" s="1574" t="s">
        <v>11</v>
      </c>
      <c r="S31" s="1575">
        <f t="shared" si="12"/>
        <v>100</v>
      </c>
      <c r="T31" s="1574" t="s">
        <v>11</v>
      </c>
      <c r="U31" s="1575">
        <f t="shared" si="13"/>
        <v>100</v>
      </c>
      <c r="V31" s="1574" t="s">
        <v>11</v>
      </c>
      <c r="W31" s="1575">
        <f t="shared" si="14"/>
        <v>100</v>
      </c>
      <c r="X31" s="3491"/>
      <c r="Y31" s="3706"/>
      <c r="Z31" s="3490">
        <f t="shared" si="15"/>
        <v>111</v>
      </c>
      <c r="AA31" s="3492">
        <f t="shared" si="3"/>
        <v>1</v>
      </c>
      <c r="AB31" s="3492">
        <f t="shared" si="4"/>
        <v>1</v>
      </c>
      <c r="AC31" s="3492">
        <f t="shared" si="5"/>
        <v>1</v>
      </c>
    </row>
    <row r="32" spans="1:29" ht="15">
      <c r="A32" s="2934" t="s">
        <v>2757</v>
      </c>
      <c r="B32" s="172" t="s">
        <v>724</v>
      </c>
      <c r="C32" s="878" t="s">
        <v>3327</v>
      </c>
      <c r="D32" s="597">
        <v>100</v>
      </c>
      <c r="E32" s="879" t="s">
        <v>3352</v>
      </c>
      <c r="F32" s="575">
        <f>SUMIF(100:100,E32,101:101)-SUMIF(100:100,C32,101:101)+100</f>
        <v>99</v>
      </c>
      <c r="G32" s="879" t="s">
        <v>3352</v>
      </c>
      <c r="H32" s="597">
        <f>SUMIF(100:100,G32,101:101)-SUMIF(100:100,C32,101:101)+100</f>
        <v>99</v>
      </c>
      <c r="I32" s="879" t="s">
        <v>3327</v>
      </c>
      <c r="J32" s="540">
        <f>SUMIF(100:100,I32,101:101)-SUMIF(100:100,C32,101:101)+100</f>
        <v>100</v>
      </c>
      <c r="K32" s="864">
        <v>1</v>
      </c>
      <c r="L32" s="2144"/>
      <c r="M32" s="2136"/>
      <c r="N32" s="2136"/>
      <c r="O32" s="2143"/>
      <c r="P32" s="3707" t="s">
        <v>549</v>
      </c>
      <c r="Q32" s="3489" t="str">
        <f t="shared" si="11"/>
        <v>建筑类型</v>
      </c>
      <c r="R32" s="1574" t="s">
        <v>11</v>
      </c>
      <c r="S32" s="1575">
        <f t="shared" si="12"/>
        <v>99</v>
      </c>
      <c r="T32" s="1574" t="s">
        <v>11</v>
      </c>
      <c r="U32" s="1575">
        <f t="shared" si="13"/>
        <v>99</v>
      </c>
      <c r="V32" s="1574" t="s">
        <v>11</v>
      </c>
      <c r="W32" s="1575">
        <f t="shared" si="14"/>
        <v>100</v>
      </c>
      <c r="X32" s="3491"/>
      <c r="Y32" s="3708" t="s">
        <v>549</v>
      </c>
      <c r="Z32" s="3490" t="str">
        <f t="shared" si="15"/>
        <v>建筑类型</v>
      </c>
      <c r="AA32" s="3492">
        <f t="shared" si="3"/>
        <v>1.0101010101010102</v>
      </c>
      <c r="AB32" s="3492">
        <f t="shared" si="4"/>
        <v>1.0101010101010102</v>
      </c>
      <c r="AC32" s="3492">
        <f t="shared" si="5"/>
        <v>1</v>
      </c>
    </row>
    <row r="33" spans="1:29" s="1339" customFormat="1" ht="15">
      <c r="A33" s="603"/>
      <c r="B33" s="527" t="s">
        <v>725</v>
      </c>
      <c r="C33" s="880">
        <f>'数据-汇总表'!E3</f>
        <v>104884.84999999999</v>
      </c>
      <c r="D33" s="255">
        <v>100</v>
      </c>
      <c r="E33" s="534">
        <v>43736</v>
      </c>
      <c r="F33" s="863">
        <f>LOOKUP(E33,103:103,104:104)-LOOKUP(C33,103:103,104:104)+100</f>
        <v>98</v>
      </c>
      <c r="G33" s="534">
        <v>100000</v>
      </c>
      <c r="H33" s="255">
        <f>LOOKUP(G33,103:103,104:104)-LOOKUP(C33,103:103,104:104)+100</f>
        <v>100</v>
      </c>
      <c r="I33" s="534">
        <v>170568</v>
      </c>
      <c r="J33" s="255">
        <f>LOOKUP(I33,103:103,104:104)-LOOKUP(C33,103:103,104:104)+100</f>
        <v>100</v>
      </c>
      <c r="K33" s="865"/>
      <c r="L33" s="2142"/>
      <c r="M33" s="2173"/>
      <c r="N33" s="2173"/>
      <c r="O33" s="2145"/>
      <c r="P33" s="3708"/>
      <c r="Q33" s="1606" t="str">
        <f t="shared" si="11"/>
        <v>项目建筑规模</v>
      </c>
      <c r="R33" s="1578" t="s">
        <v>11</v>
      </c>
      <c r="S33" s="1579">
        <f t="shared" si="12"/>
        <v>98</v>
      </c>
      <c r="T33" s="1578" t="s">
        <v>11</v>
      </c>
      <c r="U33" s="1579">
        <f t="shared" si="13"/>
        <v>100</v>
      </c>
      <c r="V33" s="1578" t="s">
        <v>11</v>
      </c>
      <c r="W33" s="1579">
        <f t="shared" si="14"/>
        <v>100</v>
      </c>
      <c r="X33" s="1580"/>
      <c r="Y33" s="3708"/>
      <c r="Z33" s="1581" t="str">
        <f t="shared" si="15"/>
        <v>项目建筑规模</v>
      </c>
      <c r="AA33" s="3492">
        <f t="shared" si="3"/>
        <v>1.0204081632653061</v>
      </c>
      <c r="AB33" s="3492">
        <f t="shared" si="4"/>
        <v>1</v>
      </c>
      <c r="AC33" s="3492">
        <f t="shared" si="5"/>
        <v>1</v>
      </c>
    </row>
    <row r="34" spans="1:29" ht="15">
      <c r="A34" s="594"/>
      <c r="B34" s="527" t="s">
        <v>726</v>
      </c>
      <c r="C34" s="881" t="s">
        <v>3346</v>
      </c>
      <c r="D34" s="540">
        <v>100</v>
      </c>
      <c r="E34" s="882" t="s">
        <v>3346</v>
      </c>
      <c r="F34" s="575">
        <f>SUMIF(105:105,E34,106:106)-SUMIF(105:105,C34,106:106)+100</f>
        <v>100</v>
      </c>
      <c r="G34" s="882" t="s">
        <v>3346</v>
      </c>
      <c r="H34" s="540">
        <f>SUMIF(105:105,G34,106:106)-SUMIF(105:105,C34,106:106)+100</f>
        <v>100</v>
      </c>
      <c r="I34" s="882" t="s">
        <v>3346</v>
      </c>
      <c r="J34" s="540">
        <f>SUMIF(105:105,I34,106:106)-SUMIF(105:105,C34,106:106)+100</f>
        <v>100</v>
      </c>
      <c r="K34" s="864">
        <v>2</v>
      </c>
      <c r="L34" s="2144"/>
      <c r="M34" s="2136"/>
      <c r="N34" s="2136"/>
      <c r="O34" s="2143"/>
      <c r="P34" s="3708"/>
      <c r="Q34" s="3489" t="str">
        <f t="shared" si="11"/>
        <v>建筑结构</v>
      </c>
      <c r="R34" s="1574" t="s">
        <v>11</v>
      </c>
      <c r="S34" s="1575">
        <f t="shared" si="12"/>
        <v>100</v>
      </c>
      <c r="T34" s="1574" t="s">
        <v>11</v>
      </c>
      <c r="U34" s="1575">
        <f t="shared" si="13"/>
        <v>100</v>
      </c>
      <c r="V34" s="1574" t="s">
        <v>11</v>
      </c>
      <c r="W34" s="1575">
        <f t="shared" si="14"/>
        <v>100</v>
      </c>
      <c r="X34" s="3491"/>
      <c r="Y34" s="3708"/>
      <c r="Z34" s="3490" t="str">
        <f t="shared" si="15"/>
        <v>建筑结构</v>
      </c>
      <c r="AA34" s="3492">
        <f t="shared" si="3"/>
        <v>1</v>
      </c>
      <c r="AB34" s="3492">
        <f t="shared" si="4"/>
        <v>1</v>
      </c>
      <c r="AC34" s="3492">
        <f t="shared" si="5"/>
        <v>1</v>
      </c>
    </row>
    <row r="35" spans="1:29" ht="15">
      <c r="A35" s="594"/>
      <c r="B35" s="527" t="s">
        <v>727</v>
      </c>
      <c r="C35" s="599" t="s">
        <v>3347</v>
      </c>
      <c r="D35" s="540">
        <v>100</v>
      </c>
      <c r="E35" s="874" t="s">
        <v>3347</v>
      </c>
      <c r="F35" s="575">
        <f>SUMIF(107:107,E35,108:108)-SUMIF(107:107,C35,108:108)+100</f>
        <v>100</v>
      </c>
      <c r="G35" s="874" t="s">
        <v>3347</v>
      </c>
      <c r="H35" s="540">
        <f>SUMIF(107:107,G35,108:108)-SUMIF(107:107,C35,108:108)+100</f>
        <v>100</v>
      </c>
      <c r="I35" s="874" t="s">
        <v>3347</v>
      </c>
      <c r="J35" s="540">
        <f>SUMIF(107:107,I35,108:108)-SUMIF(107:107,C35,108:108)+100</f>
        <v>100</v>
      </c>
      <c r="K35" s="864">
        <v>2</v>
      </c>
      <c r="L35" s="2144"/>
      <c r="M35" s="2136"/>
      <c r="N35" s="2136"/>
      <c r="O35" s="2143"/>
      <c r="P35" s="3708"/>
      <c r="Q35" s="3489" t="str">
        <f t="shared" si="11"/>
        <v>建筑品质</v>
      </c>
      <c r="R35" s="1574" t="s">
        <v>11</v>
      </c>
      <c r="S35" s="1575">
        <f t="shared" si="12"/>
        <v>100</v>
      </c>
      <c r="T35" s="1574" t="s">
        <v>11</v>
      </c>
      <c r="U35" s="1575">
        <f t="shared" si="13"/>
        <v>100</v>
      </c>
      <c r="V35" s="1574" t="s">
        <v>11</v>
      </c>
      <c r="W35" s="1575">
        <f t="shared" si="14"/>
        <v>100</v>
      </c>
      <c r="X35" s="3491"/>
      <c r="Y35" s="3708"/>
      <c r="Z35" s="3490" t="str">
        <f t="shared" si="15"/>
        <v>建筑品质</v>
      </c>
      <c r="AA35" s="3492">
        <f t="shared" si="3"/>
        <v>1</v>
      </c>
      <c r="AB35" s="3492">
        <f t="shared" si="4"/>
        <v>1</v>
      </c>
      <c r="AC35" s="3492">
        <f t="shared" si="5"/>
        <v>1</v>
      </c>
    </row>
    <row r="36" spans="1:29" ht="15">
      <c r="A36" s="594"/>
      <c r="B36" s="527" t="s">
        <v>728</v>
      </c>
      <c r="C36" s="599" t="s">
        <v>3350</v>
      </c>
      <c r="D36" s="540">
        <v>100</v>
      </c>
      <c r="E36" s="874" t="s">
        <v>3350</v>
      </c>
      <c r="F36" s="575">
        <f>SUMIF(109:109,E36,110:110)-SUMIF(109:109,C36,110:110)+100</f>
        <v>100</v>
      </c>
      <c r="G36" s="874" t="s">
        <v>3350</v>
      </c>
      <c r="H36" s="540">
        <f>SUMIF(109:109,G36,110:110)-SUMIF(109:109,C36,110:110)+100</f>
        <v>100</v>
      </c>
      <c r="I36" s="874" t="s">
        <v>3348</v>
      </c>
      <c r="J36" s="540">
        <f>SUMIF(109:109,I36,110:110)-SUMIF(109:109,C36,110:110)+100</f>
        <v>103</v>
      </c>
      <c r="K36" s="864">
        <v>1</v>
      </c>
      <c r="L36" s="2144"/>
      <c r="M36" s="2136"/>
      <c r="N36" s="2136"/>
      <c r="O36" s="2143"/>
      <c r="P36" s="3708"/>
      <c r="Q36" s="3489" t="str">
        <f t="shared" si="11"/>
        <v>公共部分装修</v>
      </c>
      <c r="R36" s="1574" t="s">
        <v>11</v>
      </c>
      <c r="S36" s="1575">
        <f t="shared" si="12"/>
        <v>100</v>
      </c>
      <c r="T36" s="1574" t="s">
        <v>11</v>
      </c>
      <c r="U36" s="1575">
        <f t="shared" si="13"/>
        <v>100</v>
      </c>
      <c r="V36" s="1574" t="s">
        <v>11</v>
      </c>
      <c r="W36" s="1575">
        <f t="shared" si="14"/>
        <v>103</v>
      </c>
      <c r="X36" s="3491"/>
      <c r="Y36" s="3708"/>
      <c r="Z36" s="3490" t="str">
        <f t="shared" si="15"/>
        <v>公共部分装修</v>
      </c>
      <c r="AA36" s="3492">
        <f t="shared" si="3"/>
        <v>1</v>
      </c>
      <c r="AB36" s="3492">
        <f t="shared" si="4"/>
        <v>1</v>
      </c>
      <c r="AC36" s="3492">
        <f t="shared" si="5"/>
        <v>0.970873786407767</v>
      </c>
    </row>
    <row r="37" spans="1:29" s="1220" customFormat="1" ht="15">
      <c r="A37" s="600"/>
      <c r="B37" s="527" t="s">
        <v>729</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708"/>
      <c r="Q37" s="3487" t="str">
        <f t="shared" si="11"/>
        <v>成新度</v>
      </c>
      <c r="R37" s="1569" t="s">
        <v>11</v>
      </c>
      <c r="S37" s="1570">
        <f t="shared" si="12"/>
        <v>100</v>
      </c>
      <c r="T37" s="1569" t="s">
        <v>11</v>
      </c>
      <c r="U37" s="1570">
        <f t="shared" si="13"/>
        <v>100</v>
      </c>
      <c r="V37" s="1569" t="s">
        <v>11</v>
      </c>
      <c r="W37" s="1570">
        <f t="shared" si="14"/>
        <v>100</v>
      </c>
      <c r="X37" s="1571"/>
      <c r="Y37" s="3708"/>
      <c r="Z37" s="3486" t="str">
        <f t="shared" si="15"/>
        <v>成新度</v>
      </c>
      <c r="AA37" s="1572">
        <f t="shared" si="3"/>
        <v>1</v>
      </c>
      <c r="AB37" s="1572">
        <f t="shared" si="4"/>
        <v>1</v>
      </c>
      <c r="AC37" s="1572">
        <f t="shared" si="5"/>
        <v>1</v>
      </c>
    </row>
    <row r="38" spans="1:29" ht="15">
      <c r="A38" s="594"/>
      <c r="B38" s="527" t="s">
        <v>730</v>
      </c>
      <c r="C38" s="599" t="s">
        <v>3349</v>
      </c>
      <c r="D38" s="540">
        <v>100</v>
      </c>
      <c r="E38" s="599" t="s">
        <v>3349</v>
      </c>
      <c r="F38" s="575">
        <f>SUMIF(114:114,E38,115:115)-SUMIF(114:114,C38,115:115)+100</f>
        <v>100</v>
      </c>
      <c r="G38" s="599" t="s">
        <v>3349</v>
      </c>
      <c r="H38" s="540">
        <f>SUMIF(114:114,G38,115:115)-SUMIF(114:114,C38,115:115)+100</f>
        <v>100</v>
      </c>
      <c r="I38" s="599" t="s">
        <v>3349</v>
      </c>
      <c r="J38" s="540">
        <f>SUMIF(114:114,I38,115:115)-SUMIF(114:114,C38,115:115)+100</f>
        <v>100</v>
      </c>
      <c r="K38" s="864">
        <v>1</v>
      </c>
      <c r="L38" s="2144"/>
      <c r="M38" s="2136"/>
      <c r="N38" s="2136"/>
      <c r="O38" s="2143"/>
      <c r="P38" s="3708" t="s">
        <v>549</v>
      </c>
      <c r="Q38" s="3489" t="str">
        <f t="shared" si="11"/>
        <v>物业管理</v>
      </c>
      <c r="R38" s="1574" t="s">
        <v>11</v>
      </c>
      <c r="S38" s="1575">
        <f t="shared" si="12"/>
        <v>100</v>
      </c>
      <c r="T38" s="1574" t="s">
        <v>11</v>
      </c>
      <c r="U38" s="1575">
        <f t="shared" si="13"/>
        <v>100</v>
      </c>
      <c r="V38" s="1574" t="s">
        <v>11</v>
      </c>
      <c r="W38" s="1575">
        <f t="shared" si="14"/>
        <v>100</v>
      </c>
      <c r="X38" s="3491"/>
      <c r="Y38" s="3708" t="s">
        <v>549</v>
      </c>
      <c r="Z38" s="3490" t="str">
        <f t="shared" si="15"/>
        <v>物业管理</v>
      </c>
      <c r="AA38" s="3492">
        <f t="shared" si="3"/>
        <v>1</v>
      </c>
      <c r="AB38" s="3492">
        <f t="shared" si="4"/>
        <v>1</v>
      </c>
      <c r="AC38" s="3492">
        <f t="shared" si="5"/>
        <v>1</v>
      </c>
    </row>
    <row r="39" spans="1:29" ht="15">
      <c r="A39" s="594"/>
      <c r="B39" s="1897" t="s">
        <v>2566</v>
      </c>
      <c r="C39" s="599" t="s">
        <v>3258</v>
      </c>
      <c r="D39" s="540">
        <v>100</v>
      </c>
      <c r="E39" s="599" t="s">
        <v>3258</v>
      </c>
      <c r="F39" s="575">
        <f>SUMIF(116:116,E39,117:117)-SUMIF(116:116,C39,117:117)+100</f>
        <v>100</v>
      </c>
      <c r="G39" s="599" t="s">
        <v>3258</v>
      </c>
      <c r="H39" s="540">
        <f>SUMIF(116:116,G39,117:117)-SUMIF(116:116,C39,117:117)+100</f>
        <v>100</v>
      </c>
      <c r="I39" s="599" t="s">
        <v>3258</v>
      </c>
      <c r="J39" s="540">
        <f>SUMIF(116:116,I39,117:117)-SUMIF(116:116,C39,117:117)+100</f>
        <v>100</v>
      </c>
      <c r="K39" s="864">
        <v>1</v>
      </c>
      <c r="L39" s="2144"/>
      <c r="M39" s="2136"/>
      <c r="N39" s="2136"/>
      <c r="O39" s="2143"/>
      <c r="P39" s="3708"/>
      <c r="Q39" s="3489" t="str">
        <f t="shared" si="11"/>
        <v>市政基础设施</v>
      </c>
      <c r="R39" s="1574" t="s">
        <v>11</v>
      </c>
      <c r="S39" s="1575">
        <f t="shared" si="12"/>
        <v>100</v>
      </c>
      <c r="T39" s="1574" t="s">
        <v>11</v>
      </c>
      <c r="U39" s="1575">
        <f t="shared" si="13"/>
        <v>100</v>
      </c>
      <c r="V39" s="1574" t="s">
        <v>11</v>
      </c>
      <c r="W39" s="1575">
        <f t="shared" si="14"/>
        <v>100</v>
      </c>
      <c r="X39" s="3491"/>
      <c r="Y39" s="3708"/>
      <c r="Z39" s="3490" t="str">
        <f t="shared" si="15"/>
        <v>市政基础设施</v>
      </c>
      <c r="AA39" s="3492">
        <f t="shared" si="3"/>
        <v>1</v>
      </c>
      <c r="AB39" s="3492">
        <f t="shared" si="4"/>
        <v>1</v>
      </c>
      <c r="AC39" s="3492">
        <f t="shared" si="5"/>
        <v>1</v>
      </c>
    </row>
    <row r="40" spans="1:29" ht="15">
      <c r="A40" s="594"/>
      <c r="B40" s="527" t="s">
        <v>731</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708"/>
      <c r="Q40" s="3489" t="str">
        <f t="shared" si="11"/>
        <v>房型</v>
      </c>
      <c r="R40" s="1574" t="s">
        <v>11</v>
      </c>
      <c r="S40" s="1575">
        <f t="shared" si="12"/>
        <v>100</v>
      </c>
      <c r="T40" s="1574" t="s">
        <v>11</v>
      </c>
      <c r="U40" s="1575">
        <f t="shared" si="13"/>
        <v>100</v>
      </c>
      <c r="V40" s="1574" t="s">
        <v>11</v>
      </c>
      <c r="W40" s="1575">
        <f t="shared" si="14"/>
        <v>100</v>
      </c>
      <c r="X40" s="3491"/>
      <c r="Y40" s="3708"/>
      <c r="Z40" s="3490" t="str">
        <f t="shared" si="15"/>
        <v>房型</v>
      </c>
      <c r="AA40" s="3492">
        <f t="shared" si="3"/>
        <v>1</v>
      </c>
      <c r="AB40" s="3492">
        <f t="shared" si="4"/>
        <v>1</v>
      </c>
      <c r="AC40" s="3492">
        <f t="shared" si="5"/>
        <v>1</v>
      </c>
    </row>
    <row r="41" spans="1:29" s="1339" customFormat="1" ht="28.5">
      <c r="A41" s="603"/>
      <c r="B41" s="527" t="s">
        <v>732</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708"/>
      <c r="Q41" s="1606" t="str">
        <f t="shared" si="11"/>
        <v>单套/主力户型建筑面积</v>
      </c>
      <c r="R41" s="1578" t="s">
        <v>11</v>
      </c>
      <c r="S41" s="1579">
        <f t="shared" si="12"/>
        <v>100</v>
      </c>
      <c r="T41" s="1578" t="s">
        <v>11</v>
      </c>
      <c r="U41" s="1579">
        <f t="shared" si="13"/>
        <v>100</v>
      </c>
      <c r="V41" s="1578" t="s">
        <v>11</v>
      </c>
      <c r="W41" s="1579">
        <f t="shared" si="14"/>
        <v>100</v>
      </c>
      <c r="X41" s="1580"/>
      <c r="Y41" s="3708"/>
      <c r="Z41" s="1581" t="str">
        <f t="shared" si="15"/>
        <v>单套/主力户型建筑面积</v>
      </c>
      <c r="AA41" s="3492">
        <f t="shared" si="3"/>
        <v>1</v>
      </c>
      <c r="AB41" s="3492">
        <f t="shared" si="4"/>
        <v>1</v>
      </c>
      <c r="AC41" s="3492">
        <f t="shared" si="5"/>
        <v>1</v>
      </c>
    </row>
    <row r="42" spans="1:29" ht="15">
      <c r="A42" s="594"/>
      <c r="B42" s="527" t="s">
        <v>733</v>
      </c>
      <c r="C42" s="599" t="s">
        <v>3348</v>
      </c>
      <c r="D42" s="540">
        <v>100</v>
      </c>
      <c r="E42" s="599" t="s">
        <v>3348</v>
      </c>
      <c r="F42" s="575">
        <f>SUMIF(122:122,E42,123:123)-SUMIF(122:122,C42,123:123)+100</f>
        <v>100</v>
      </c>
      <c r="G42" s="599" t="s">
        <v>3348</v>
      </c>
      <c r="H42" s="540">
        <f>SUMIF(122:122,G42,123:123)-SUMIF(122:122,C42,123:123)+100</f>
        <v>100</v>
      </c>
      <c r="I42" s="599" t="s">
        <v>3348</v>
      </c>
      <c r="J42" s="540">
        <f>SUMIF(122:122,I42,123:123)-SUMIF(122:122,C42,123:123)+100</f>
        <v>100</v>
      </c>
      <c r="K42" s="864">
        <v>1</v>
      </c>
      <c r="L42" s="2144"/>
      <c r="M42" s="2136"/>
      <c r="N42" s="2136"/>
      <c r="O42" s="2143"/>
      <c r="P42" s="3708"/>
      <c r="Q42" s="3489" t="str">
        <f t="shared" si="11"/>
        <v>内部装修</v>
      </c>
      <c r="R42" s="1574" t="s">
        <v>11</v>
      </c>
      <c r="S42" s="1575">
        <f t="shared" si="12"/>
        <v>100</v>
      </c>
      <c r="T42" s="1574" t="s">
        <v>11</v>
      </c>
      <c r="U42" s="1575">
        <f t="shared" si="13"/>
        <v>100</v>
      </c>
      <c r="V42" s="1574" t="s">
        <v>11</v>
      </c>
      <c r="W42" s="1575">
        <f t="shared" si="14"/>
        <v>100</v>
      </c>
      <c r="X42" s="3491"/>
      <c r="Y42" s="3708"/>
      <c r="Z42" s="3490" t="str">
        <f t="shared" si="15"/>
        <v>内部装修</v>
      </c>
      <c r="AA42" s="3492">
        <f t="shared" si="3"/>
        <v>1</v>
      </c>
      <c r="AB42" s="3492">
        <f t="shared" si="4"/>
        <v>1</v>
      </c>
      <c r="AC42" s="3492">
        <f t="shared" si="5"/>
        <v>1</v>
      </c>
    </row>
    <row r="43" spans="1:29" ht="27">
      <c r="A43" s="594"/>
      <c r="B43" s="527" t="s">
        <v>734</v>
      </c>
      <c r="C43" s="599" t="s">
        <v>3257</v>
      </c>
      <c r="D43" s="540">
        <v>100</v>
      </c>
      <c r="E43" s="599" t="s">
        <v>3257</v>
      </c>
      <c r="F43" s="575">
        <f>SUMIF(124:124,E43,125:125)-SUMIF(124:124,C43,125:125)+100</f>
        <v>100</v>
      </c>
      <c r="G43" s="599" t="s">
        <v>3257</v>
      </c>
      <c r="H43" s="540">
        <f>SUMIF(124:124,G43,125:125)-SUMIF(124:124,C43,125:125)+100</f>
        <v>100</v>
      </c>
      <c r="I43" s="599" t="s">
        <v>3257</v>
      </c>
      <c r="J43" s="540">
        <f>SUMIF(124:124,I43,125:125)-SUMIF(124:124,C43,125:125)+100</f>
        <v>100</v>
      </c>
      <c r="K43" s="864">
        <v>1</v>
      </c>
      <c r="L43" s="2144"/>
      <c r="M43" s="2136"/>
      <c r="N43" s="2136"/>
      <c r="O43" s="2143"/>
      <c r="P43" s="3708"/>
      <c r="Q43" s="3489" t="str">
        <f t="shared" si="11"/>
        <v>内部装修维护情况</v>
      </c>
      <c r="R43" s="1574" t="s">
        <v>11</v>
      </c>
      <c r="S43" s="1575">
        <f t="shared" si="12"/>
        <v>100</v>
      </c>
      <c r="T43" s="1574" t="s">
        <v>11</v>
      </c>
      <c r="U43" s="1575">
        <f t="shared" si="13"/>
        <v>100</v>
      </c>
      <c r="V43" s="1574" t="s">
        <v>11</v>
      </c>
      <c r="W43" s="1575">
        <f t="shared" si="14"/>
        <v>100</v>
      </c>
      <c r="X43" s="3491"/>
      <c r="Y43" s="3708"/>
      <c r="Z43" s="3490" t="str">
        <f t="shared" si="15"/>
        <v>内部装修维护情况</v>
      </c>
      <c r="AA43" s="3492">
        <f t="shared" si="3"/>
        <v>1</v>
      </c>
      <c r="AB43" s="3492">
        <f t="shared" si="4"/>
        <v>1</v>
      </c>
      <c r="AC43" s="3492">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08"/>
      <c r="Q44" s="3487">
        <f t="shared" si="11"/>
        <v>111</v>
      </c>
      <c r="R44" s="1569" t="s">
        <v>11</v>
      </c>
      <c r="S44" s="1570">
        <f t="shared" si="12"/>
        <v>100</v>
      </c>
      <c r="T44" s="1569" t="s">
        <v>11</v>
      </c>
      <c r="U44" s="1570">
        <f t="shared" si="13"/>
        <v>100</v>
      </c>
      <c r="V44" s="1569" t="s">
        <v>11</v>
      </c>
      <c r="W44" s="1570">
        <f t="shared" si="14"/>
        <v>100</v>
      </c>
      <c r="X44" s="1571"/>
      <c r="Y44" s="3708"/>
      <c r="Z44" s="3486">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08"/>
      <c r="Q45" s="3489">
        <f t="shared" si="11"/>
        <v>111</v>
      </c>
      <c r="R45" s="1574" t="s">
        <v>11</v>
      </c>
      <c r="S45" s="1575">
        <f t="shared" si="12"/>
        <v>100</v>
      </c>
      <c r="T45" s="1574" t="s">
        <v>11</v>
      </c>
      <c r="U45" s="1575">
        <f t="shared" si="13"/>
        <v>100</v>
      </c>
      <c r="V45" s="1574" t="s">
        <v>11</v>
      </c>
      <c r="W45" s="1575">
        <f t="shared" si="14"/>
        <v>100</v>
      </c>
      <c r="X45" s="3491"/>
      <c r="Y45" s="3708"/>
      <c r="Z45" s="3490">
        <f t="shared" si="15"/>
        <v>111</v>
      </c>
      <c r="AA45" s="3492">
        <f t="shared" si="3"/>
        <v>1</v>
      </c>
      <c r="AB45" s="3492">
        <f t="shared" si="4"/>
        <v>1</v>
      </c>
      <c r="AC45" s="349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85"/>
      <c r="Q46" s="3489">
        <f t="shared" si="11"/>
        <v>111</v>
      </c>
      <c r="R46" s="1574" t="s">
        <v>10</v>
      </c>
      <c r="S46" s="1575">
        <f t="shared" si="12"/>
        <v>100</v>
      </c>
      <c r="T46" s="1574" t="s">
        <v>10</v>
      </c>
      <c r="U46" s="1575">
        <f t="shared" si="13"/>
        <v>100</v>
      </c>
      <c r="V46" s="1574" t="s">
        <v>10</v>
      </c>
      <c r="W46" s="1575">
        <f t="shared" si="14"/>
        <v>100</v>
      </c>
      <c r="X46" s="3491"/>
      <c r="Y46" s="3785"/>
      <c r="Z46" s="3490">
        <f t="shared" si="15"/>
        <v>111</v>
      </c>
      <c r="AA46" s="3492">
        <f t="shared" si="3"/>
        <v>1</v>
      </c>
      <c r="AB46" s="3492">
        <f t="shared" si="4"/>
        <v>1</v>
      </c>
      <c r="AC46" s="3492">
        <f t="shared" si="5"/>
        <v>1</v>
      </c>
    </row>
    <row r="47" spans="1:29" ht="15">
      <c r="A47" s="607" t="s">
        <v>735</v>
      </c>
      <c r="B47" s="887"/>
      <c r="C47" s="2653" t="s">
        <v>3</v>
      </c>
      <c r="D47" s="2654"/>
      <c r="E47" s="2655">
        <v>96356</v>
      </c>
      <c r="F47" s="2656"/>
      <c r="G47" s="2657">
        <v>89432</v>
      </c>
      <c r="H47" s="2658"/>
      <c r="I47" s="2655">
        <v>93000</v>
      </c>
      <c r="J47" s="2658"/>
      <c r="K47" s="1607"/>
      <c r="L47" s="2146"/>
      <c r="M47" s="2147"/>
      <c r="N47" s="2136"/>
      <c r="O47" s="2147"/>
      <c r="P47" s="3671" t="str">
        <f>A47</f>
        <v>成交单价（元/平方米）</v>
      </c>
      <c r="Q47" s="3671"/>
      <c r="R47" s="3783">
        <f>E47</f>
        <v>96356</v>
      </c>
      <c r="S47" s="3783"/>
      <c r="T47" s="3783">
        <f>G47</f>
        <v>89432</v>
      </c>
      <c r="U47" s="3783"/>
      <c r="V47" s="3783">
        <f>I47</f>
        <v>93000</v>
      </c>
      <c r="W47" s="3783"/>
      <c r="X47" s="1560"/>
      <c r="Y47" s="1582"/>
      <c r="Z47" s="1560"/>
      <c r="AA47" s="1560"/>
      <c r="AB47" s="1560"/>
      <c r="AC47" s="1560"/>
    </row>
    <row r="48" spans="1:29" ht="15.75" thickBot="1">
      <c r="A48" s="615" t="s">
        <v>2695</v>
      </c>
      <c r="B48" s="888"/>
      <c r="C48" s="2659">
        <f>R49</f>
        <v>84465</v>
      </c>
      <c r="D48" s="2660"/>
      <c r="E48" s="2661">
        <f>R48</f>
        <v>86781</v>
      </c>
      <c r="F48" s="2661"/>
      <c r="G48" s="2659">
        <f>T48</f>
        <v>78934</v>
      </c>
      <c r="H48" s="2660"/>
      <c r="I48" s="2661">
        <f>V48</f>
        <v>87679</v>
      </c>
      <c r="J48" s="2660"/>
      <c r="K48" s="1608"/>
      <c r="L48" s="2146"/>
      <c r="M48" s="2147"/>
      <c r="N48" s="2147"/>
      <c r="O48" s="2147"/>
      <c r="P48" s="3671" t="str">
        <f>A48</f>
        <v>比较价格（元/平方米）</v>
      </c>
      <c r="Q48" s="3671"/>
      <c r="R48" s="3783">
        <f>IF(F1="售价",ROUND(PRODUCT(R47,AA7:AA46),0),ROUND(PRODUCT(R47,AA7:AA46),1))</f>
        <v>86781</v>
      </c>
      <c r="S48" s="3783"/>
      <c r="T48" s="3783">
        <f>IF(F1="售价",ROUND(PRODUCT(T47,AB7:AB46),0),ROUND(PRODUCT(T47,AB7:AB46),1))</f>
        <v>78934</v>
      </c>
      <c r="U48" s="3783"/>
      <c r="V48" s="3783">
        <f>IF(F1="售价",ROUND(PRODUCT(V47,AC7:AC46),0),ROUND(PRODUCT(V47,AC7:AC46),1))</f>
        <v>87679</v>
      </c>
      <c r="W48" s="3783"/>
      <c r="X48" s="1560"/>
      <c r="Y48" s="1560"/>
      <c r="Z48" s="1560"/>
      <c r="AA48" s="1560"/>
      <c r="AB48" s="1560"/>
      <c r="AC48" s="1560"/>
    </row>
    <row r="49" spans="1:29" ht="15.75" thickBot="1">
      <c r="A49" s="621" t="s">
        <v>2936</v>
      </c>
      <c r="B49" s="622"/>
      <c r="C49" s="2662">
        <f>R49</f>
        <v>84465</v>
      </c>
      <c r="D49" s="2662"/>
      <c r="E49" s="2662"/>
      <c r="F49" s="2662"/>
      <c r="G49" s="2662"/>
      <c r="H49" s="2662"/>
      <c r="I49" s="2662"/>
      <c r="J49" s="2662"/>
      <c r="K49" s="1609"/>
      <c r="L49" s="2146"/>
      <c r="M49" s="2147"/>
      <c r="N49" s="2147"/>
      <c r="O49" s="2147"/>
      <c r="P49" s="3668" t="str">
        <f>A49</f>
        <v>估价对象XX用房的比较价格（楼面单价，元/平方米）</v>
      </c>
      <c r="Q49" s="3669"/>
      <c r="R49" s="3784">
        <f>IF(F1="售价",ROUND(AVERAGE(R48:V48),0),ROUND(AVERAGE(R48:V48),1))</f>
        <v>84465</v>
      </c>
      <c r="S49" s="3784"/>
      <c r="T49" s="3784"/>
      <c r="U49" s="3784"/>
      <c r="V49" s="3784"/>
      <c r="W49" s="378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0.11033521162466431</v>
      </c>
      <c r="F52" s="627" t="str">
        <f>IF(OR(E52&gt;=0.3,E52&lt;=-0.3),"超过30%","")</f>
        <v/>
      </c>
      <c r="G52" s="626">
        <f>IF(G47&lt;G48,G48/G47-1,G47/G48-1)</f>
        <v>0.13299718752375411</v>
      </c>
      <c r="H52" s="627" t="str">
        <f>IF(OR(G52&gt;=0.3,G52&lt;=-0.3),"超过30%","")</f>
        <v/>
      </c>
      <c r="I52" s="626">
        <f>IF(I47&lt;I48,I48/I47-1,I47/I48-1)</f>
        <v>6.068727973631094E-2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9.9412167126966766E-2</v>
      </c>
      <c r="F53" s="627" t="str">
        <f>IF(OR(E53&gt;=0.2,E53&lt;=-0.2),"超过20%","")</f>
        <v/>
      </c>
      <c r="G53" s="626">
        <f>IF(G48&lt;I48,I48/G48-1,G48/I48-1)</f>
        <v>0.11078876023006567</v>
      </c>
      <c r="H53" s="627" t="str">
        <f>IF(OR(G53&gt;=0.2,G53&lt;=-0.2),"超过20%","")</f>
        <v/>
      </c>
      <c r="I53" s="626">
        <f>IF(I48&lt;E48,E48/I48-1,I48/E48-1)</f>
        <v>1.0347887210333973E-2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90</v>
      </c>
      <c r="E77" s="679">
        <f>D77-$K15</f>
        <v>80</v>
      </c>
      <c r="F77" s="679">
        <f>E77-$K15</f>
        <v>70</v>
      </c>
      <c r="G77" s="679">
        <f>F77-$K15</f>
        <v>60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2317</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2549</v>
      </c>
      <c r="C82" s="2624" t="s">
        <v>2561</v>
      </c>
      <c r="D82" s="2624" t="s">
        <v>2562</v>
      </c>
      <c r="E82" s="2624" t="s">
        <v>2563</v>
      </c>
      <c r="F82" s="2624" t="s">
        <v>2564</v>
      </c>
      <c r="G82" s="2624" t="s">
        <v>2565</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482" t="s">
        <v>3328</v>
      </c>
      <c r="D100" s="3482" t="s">
        <v>3322</v>
      </c>
      <c r="E100" s="3482" t="s">
        <v>3323</v>
      </c>
      <c r="F100" s="3482" t="s">
        <v>3324</v>
      </c>
      <c r="G100" s="3482" t="s">
        <v>3325</v>
      </c>
      <c r="H100" s="3482" t="s">
        <v>3326</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t="s">
        <v>3329</v>
      </c>
      <c r="D105" s="688" t="s">
        <v>3330</v>
      </c>
      <c r="E105" s="718" t="s">
        <v>3331</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718" t="s">
        <v>3332</v>
      </c>
      <c r="D107" s="718" t="s">
        <v>3333</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t="s">
        <v>3334</v>
      </c>
      <c r="D109" s="688" t="s">
        <v>3335</v>
      </c>
      <c r="E109" s="688" t="s">
        <v>3336</v>
      </c>
      <c r="F109" s="718" t="s">
        <v>3337</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688" t="s">
        <v>3338</v>
      </c>
      <c r="D114" s="688" t="s">
        <v>3339</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688" t="s">
        <v>3340</v>
      </c>
      <c r="D116" s="688" t="s">
        <v>3341</v>
      </c>
      <c r="E116" s="688" t="s">
        <v>3342</v>
      </c>
      <c r="F116" s="688" t="s">
        <v>3343</v>
      </c>
      <c r="G116" s="688" t="s">
        <v>3344</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t="s">
        <v>3334</v>
      </c>
      <c r="D122" s="688" t="s">
        <v>3335</v>
      </c>
      <c r="E122" s="688" t="s">
        <v>3336</v>
      </c>
      <c r="F122" s="718" t="s">
        <v>3337</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2262</v>
      </c>
      <c r="H138" s="1930" t="s">
        <v>2263</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2269</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2287</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2288</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0" zoomScaleNormal="80" workbookViewId="0">
      <selection activeCell="L40" sqref="L40"/>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9" t="s">
        <v>718</v>
      </c>
      <c r="C1" s="2650" t="s">
        <v>719</v>
      </c>
      <c r="D1" s="2651" t="s">
        <v>3345</v>
      </c>
      <c r="E1" s="2652"/>
      <c r="F1" s="2834" t="s">
        <v>3353</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465</v>
      </c>
      <c r="B2" s="2648">
        <f>ROUND(B3*D3/10000,0)</f>
        <v>672617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80417</v>
      </c>
      <c r="C3" s="852" t="s">
        <v>721</v>
      </c>
      <c r="D3" s="851">
        <f>SUMIF('数据-汇总表'!$C19:$C33,D1,'数据-汇总表'!$E19:$E33)</f>
        <v>83641.09</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677" t="s">
        <v>521</v>
      </c>
      <c r="D4" s="3678"/>
      <c r="E4" s="3711" t="s">
        <v>522</v>
      </c>
      <c r="F4" s="3712"/>
      <c r="G4" s="3677" t="s">
        <v>523</v>
      </c>
      <c r="H4" s="3678"/>
      <c r="I4" s="3677" t="s">
        <v>524</v>
      </c>
      <c r="J4" s="3678"/>
      <c r="K4" s="853" t="s">
        <v>525</v>
      </c>
      <c r="L4" s="2135"/>
      <c r="M4" s="2136"/>
      <c r="N4" s="2136"/>
      <c r="O4" s="2136"/>
      <c r="P4" s="3679" t="s">
        <v>526</v>
      </c>
      <c r="Q4" s="3680"/>
      <c r="R4" s="3685" t="s">
        <v>522</v>
      </c>
      <c r="S4" s="3686"/>
      <c r="T4" s="3685" t="s">
        <v>523</v>
      </c>
      <c r="U4" s="3686"/>
      <c r="V4" s="3672" t="s">
        <v>524</v>
      </c>
      <c r="W4" s="3672"/>
      <c r="X4" s="1568"/>
      <c r="Y4" s="3685" t="s">
        <v>526</v>
      </c>
      <c r="Z4" s="3686"/>
      <c r="AA4" s="3674" t="s">
        <v>522</v>
      </c>
      <c r="AB4" s="3674" t="s">
        <v>523</v>
      </c>
      <c r="AC4" s="3674" t="s">
        <v>524</v>
      </c>
    </row>
    <row r="5" spans="1:29" ht="15">
      <c r="A5" s="515"/>
      <c r="B5" s="516"/>
      <c r="C5" s="3693" t="s">
        <v>2930</v>
      </c>
      <c r="D5" s="3694"/>
      <c r="E5" s="3788" t="s">
        <v>3318</v>
      </c>
      <c r="F5" s="3714"/>
      <c r="G5" s="3789" t="s">
        <v>3355</v>
      </c>
      <c r="H5" s="3694"/>
      <c r="I5" s="3789" t="s">
        <v>3358</v>
      </c>
      <c r="J5" s="3694"/>
      <c r="K5" s="854"/>
      <c r="L5" s="2135"/>
      <c r="M5" s="2136"/>
      <c r="N5" s="2136"/>
      <c r="O5" s="2136"/>
      <c r="P5" s="3681"/>
      <c r="Q5" s="3682"/>
      <c r="R5" s="3687"/>
      <c r="S5" s="3688"/>
      <c r="T5" s="3687"/>
      <c r="U5" s="3688"/>
      <c r="V5" s="3672"/>
      <c r="W5" s="3672"/>
      <c r="X5" s="1568"/>
      <c r="Y5" s="3687"/>
      <c r="Z5" s="3688"/>
      <c r="AA5" s="3675"/>
      <c r="AB5" s="3675"/>
      <c r="AC5" s="3675"/>
    </row>
    <row r="6" spans="1:29" ht="33" customHeight="1" thickBot="1">
      <c r="A6" s="517"/>
      <c r="B6" s="518"/>
      <c r="C6" s="3691" t="s">
        <v>2934</v>
      </c>
      <c r="D6" s="3692"/>
      <c r="E6" s="3786" t="s">
        <v>3351</v>
      </c>
      <c r="F6" s="3710"/>
      <c r="G6" s="3787" t="s">
        <v>3354</v>
      </c>
      <c r="H6" s="3692"/>
      <c r="I6" s="3787" t="s">
        <v>3359</v>
      </c>
      <c r="J6" s="3692"/>
      <c r="K6" s="854" t="s">
        <v>527</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528</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702" t="s">
        <v>529</v>
      </c>
      <c r="Q7" s="3704"/>
      <c r="R7" s="1569" t="s">
        <v>13</v>
      </c>
      <c r="S7" s="1570">
        <f t="shared" ref="S7:S15" si="0">F7</f>
        <v>100</v>
      </c>
      <c r="T7" s="1569" t="s">
        <v>13</v>
      </c>
      <c r="U7" s="1570">
        <f t="shared" ref="U7:U15" si="1">H7</f>
        <v>100</v>
      </c>
      <c r="V7" s="1569" t="s">
        <v>13</v>
      </c>
      <c r="W7" s="1570">
        <f t="shared" ref="W7:W15" si="2">J7</f>
        <v>100</v>
      </c>
      <c r="X7" s="1571"/>
      <c r="Y7" s="3702" t="s">
        <v>529</v>
      </c>
      <c r="Z7" s="3703"/>
      <c r="AA7" s="1572">
        <f>D7/F7</f>
        <v>1</v>
      </c>
      <c r="AB7" s="1572">
        <f>D7/H7</f>
        <v>1</v>
      </c>
      <c r="AC7" s="1572">
        <f>D7/J7</f>
        <v>1</v>
      </c>
    </row>
    <row r="8" spans="1:29" s="1220" customFormat="1" ht="15.75" thickBot="1">
      <c r="A8" s="2940"/>
      <c r="B8" s="2947"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37"/>
      <c r="M8" s="2138"/>
      <c r="N8" s="2138"/>
      <c r="O8" s="2138"/>
      <c r="P8" s="3702" t="s">
        <v>532</v>
      </c>
      <c r="Q8" s="3703"/>
      <c r="R8" s="1569" t="s">
        <v>13</v>
      </c>
      <c r="S8" s="1570">
        <f t="shared" si="0"/>
        <v>100</v>
      </c>
      <c r="T8" s="1569" t="s">
        <v>13</v>
      </c>
      <c r="U8" s="1570">
        <f t="shared" si="1"/>
        <v>100</v>
      </c>
      <c r="V8" s="1569" t="s">
        <v>13</v>
      </c>
      <c r="W8" s="1570">
        <f t="shared" si="2"/>
        <v>100</v>
      </c>
      <c r="X8" s="1571"/>
      <c r="Y8" s="3702" t="s">
        <v>532</v>
      </c>
      <c r="Z8" s="3703"/>
      <c r="AA8" s="1572">
        <f t="shared" ref="AA8:AA46" si="3">D8/F8</f>
        <v>1</v>
      </c>
      <c r="AB8" s="1572">
        <f t="shared" ref="AB8:AB46" si="4">D8/H8</f>
        <v>1</v>
      </c>
      <c r="AC8" s="1572">
        <f t="shared" ref="AC8:AC46" si="5">D8/J8</f>
        <v>1</v>
      </c>
    </row>
    <row r="9" spans="1:29" s="1220" customFormat="1" ht="15">
      <c r="A9" s="2941"/>
      <c r="B9" s="2948" t="s">
        <v>2758</v>
      </c>
      <c r="C9" s="3493" t="s">
        <v>3319</v>
      </c>
      <c r="D9" s="254">
        <v>100</v>
      </c>
      <c r="E9" s="3493" t="s">
        <v>3319</v>
      </c>
      <c r="F9" s="859">
        <f>SUMIF(63:63,E9,64:64)-SUMIF(63:63,C9,64:64)+100</f>
        <v>100</v>
      </c>
      <c r="G9" s="3493" t="s">
        <v>3319</v>
      </c>
      <c r="H9" s="254">
        <f>SUMIF(63:63,G9,64:64)-SUMIF(63:63,C9,64:64)+100</f>
        <v>100</v>
      </c>
      <c r="I9" s="3493" t="s">
        <v>3319</v>
      </c>
      <c r="J9" s="254">
        <f>SUMIF(63:63,I9,64:64)-SUMIF(63:63,C9,64:64)+100</f>
        <v>100</v>
      </c>
      <c r="K9" s="855"/>
      <c r="L9" s="2137"/>
      <c r="M9" s="2138"/>
      <c r="N9" s="2138"/>
      <c r="O9" s="2139"/>
      <c r="P9" s="3671" t="s">
        <v>534</v>
      </c>
      <c r="Q9" s="1151" t="str">
        <f t="shared" ref="Q9:Q15" si="6">B9</f>
        <v>用途</v>
      </c>
      <c r="R9" s="1569" t="s">
        <v>8</v>
      </c>
      <c r="S9" s="1570">
        <f t="shared" si="0"/>
        <v>100</v>
      </c>
      <c r="T9" s="1569" t="s">
        <v>8</v>
      </c>
      <c r="U9" s="1570">
        <f t="shared" si="1"/>
        <v>100</v>
      </c>
      <c r="V9" s="1569" t="s">
        <v>8</v>
      </c>
      <c r="W9" s="1570">
        <f t="shared" si="2"/>
        <v>100</v>
      </c>
      <c r="X9" s="1571"/>
      <c r="Y9" s="3617" t="s">
        <v>535</v>
      </c>
      <c r="Z9" s="1150" t="str">
        <f t="shared" ref="Z9:Z15" si="7">Q9</f>
        <v>用途</v>
      </c>
      <c r="AA9" s="1572">
        <f t="shared" si="3"/>
        <v>1</v>
      </c>
      <c r="AB9" s="1572">
        <f t="shared" si="4"/>
        <v>1</v>
      </c>
      <c r="AC9" s="1572">
        <f t="shared" si="5"/>
        <v>1</v>
      </c>
    </row>
    <row r="10" spans="1:29" s="1338" customFormat="1" ht="27">
      <c r="A10" s="2942"/>
      <c r="B10" s="2947" t="s">
        <v>2759</v>
      </c>
      <c r="C10" s="861" t="s">
        <v>3321</v>
      </c>
      <c r="D10" s="255">
        <v>100</v>
      </c>
      <c r="E10" s="862" t="s">
        <v>3320</v>
      </c>
      <c r="F10" s="863">
        <f>SUMIF(65:65,E10,66:66)-SUMIF(65:65,C10,66:66)+100</f>
        <v>102</v>
      </c>
      <c r="G10" s="862" t="s">
        <v>3320</v>
      </c>
      <c r="H10" s="255">
        <f>SUMIF(65:65,G10,66:66)-SUMIF(65:65,C10,66:66)+100</f>
        <v>102</v>
      </c>
      <c r="I10" s="862" t="s">
        <v>3320</v>
      </c>
      <c r="J10" s="255">
        <f>SUMIF(65:65,I10,66:66)-SUMIF(65:65,C10,66:66)+100</f>
        <v>102</v>
      </c>
      <c r="K10" s="864">
        <v>1</v>
      </c>
      <c r="L10" s="2140"/>
      <c r="M10" s="2180"/>
      <c r="N10" s="2180"/>
      <c r="O10" s="2141"/>
      <c r="P10" s="3671"/>
      <c r="Q10" s="1151" t="str">
        <f t="shared" si="6"/>
        <v>土地使用年限（年）</v>
      </c>
      <c r="R10" s="1569" t="s">
        <v>8</v>
      </c>
      <c r="S10" s="1570">
        <f t="shared" si="0"/>
        <v>102</v>
      </c>
      <c r="T10" s="1569" t="s">
        <v>8</v>
      </c>
      <c r="U10" s="1570">
        <f t="shared" si="1"/>
        <v>102</v>
      </c>
      <c r="V10" s="1569" t="s">
        <v>8</v>
      </c>
      <c r="W10" s="1570">
        <f t="shared" si="2"/>
        <v>102</v>
      </c>
      <c r="X10" s="1571"/>
      <c r="Y10" s="3617"/>
      <c r="Z10" s="1150" t="str">
        <f t="shared" si="7"/>
        <v>土地使用年限（年）</v>
      </c>
      <c r="AA10" s="1572">
        <f t="shared" si="3"/>
        <v>0.98039215686274506</v>
      </c>
      <c r="AB10" s="1572">
        <f t="shared" si="4"/>
        <v>0.98039215686274506</v>
      </c>
      <c r="AC10" s="1572">
        <f t="shared" si="5"/>
        <v>0.98039215686274506</v>
      </c>
    </row>
    <row r="11" spans="1:29" ht="15">
      <c r="A11" s="2943"/>
      <c r="B11" s="2947" t="s">
        <v>2760</v>
      </c>
      <c r="C11" s="533">
        <f>'数据-汇总表'!I6</f>
        <v>1.05</v>
      </c>
      <c r="D11" s="255">
        <v>100</v>
      </c>
      <c r="E11" s="534">
        <v>1.08</v>
      </c>
      <c r="F11" s="863">
        <f>LOOKUP(E11,68:68,69:69)-LOOKUP(C11,68:68,69:69)+100</f>
        <v>100</v>
      </c>
      <c r="G11" s="534">
        <v>1</v>
      </c>
      <c r="H11" s="255">
        <f>LOOKUP(G11,68:68,69:69)-LOOKUP(C11,68:68,69:69)+100</f>
        <v>100</v>
      </c>
      <c r="I11" s="533">
        <v>0.9</v>
      </c>
      <c r="J11" s="255">
        <f>LOOKUP(I11,68:68,69:69)-LOOKUP(C11,68:68,69:69)+100</f>
        <v>101</v>
      </c>
      <c r="K11" s="864">
        <v>1</v>
      </c>
      <c r="L11" s="2142"/>
      <c r="M11" s="2136"/>
      <c r="N11" s="2136"/>
      <c r="O11" s="2143"/>
      <c r="P11" s="3671"/>
      <c r="Q11" s="1151" t="str">
        <f t="shared" si="6"/>
        <v>容积率</v>
      </c>
      <c r="R11" s="1569" t="s">
        <v>11</v>
      </c>
      <c r="S11" s="1570">
        <f t="shared" si="0"/>
        <v>100</v>
      </c>
      <c r="T11" s="1569" t="s">
        <v>11</v>
      </c>
      <c r="U11" s="1570">
        <f t="shared" si="1"/>
        <v>100</v>
      </c>
      <c r="V11" s="1569" t="s">
        <v>11</v>
      </c>
      <c r="W11" s="1570">
        <f t="shared" si="2"/>
        <v>101</v>
      </c>
      <c r="X11" s="1571"/>
      <c r="Y11" s="3617"/>
      <c r="Z11" s="1150" t="str">
        <f t="shared" si="7"/>
        <v>容积率</v>
      </c>
      <c r="AA11" s="1572">
        <f t="shared" si="3"/>
        <v>1</v>
      </c>
      <c r="AB11" s="1572">
        <f t="shared" si="4"/>
        <v>1</v>
      </c>
      <c r="AC11" s="1572">
        <f t="shared" si="5"/>
        <v>0.99009900990099009</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71"/>
      <c r="Q12" s="1151">
        <f t="shared" si="6"/>
        <v>111</v>
      </c>
      <c r="R12" s="1569" t="s">
        <v>11</v>
      </c>
      <c r="S12" s="1570">
        <f t="shared" si="0"/>
        <v>100</v>
      </c>
      <c r="T12" s="1569" t="s">
        <v>11</v>
      </c>
      <c r="U12" s="1570">
        <f t="shared" si="1"/>
        <v>100</v>
      </c>
      <c r="V12" s="1569" t="s">
        <v>11</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71"/>
      <c r="Q13" s="1151">
        <f t="shared" si="6"/>
        <v>111</v>
      </c>
      <c r="R13" s="1569" t="s">
        <v>11</v>
      </c>
      <c r="S13" s="1570">
        <f t="shared" si="0"/>
        <v>100</v>
      </c>
      <c r="T13" s="1569" t="s">
        <v>11</v>
      </c>
      <c r="U13" s="1570">
        <f t="shared" si="1"/>
        <v>100</v>
      </c>
      <c r="V13" s="1569" t="s">
        <v>11</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71"/>
      <c r="Q14" s="1151">
        <f t="shared" si="6"/>
        <v>111</v>
      </c>
      <c r="R14" s="1569" t="s">
        <v>11</v>
      </c>
      <c r="S14" s="1570">
        <f t="shared" si="0"/>
        <v>100</v>
      </c>
      <c r="T14" s="1569" t="s">
        <v>11</v>
      </c>
      <c r="U14" s="1570">
        <f t="shared" si="1"/>
        <v>100</v>
      </c>
      <c r="V14" s="1569" t="s">
        <v>11</v>
      </c>
      <c r="W14" s="1570">
        <f t="shared" si="2"/>
        <v>100</v>
      </c>
      <c r="X14" s="1571"/>
      <c r="Y14" s="3617"/>
      <c r="Z14" s="1150">
        <f t="shared" si="7"/>
        <v>111</v>
      </c>
      <c r="AA14" s="1572">
        <f t="shared" si="3"/>
        <v>1</v>
      </c>
      <c r="AB14" s="1572">
        <f t="shared" si="4"/>
        <v>1</v>
      </c>
      <c r="AC14" s="1572">
        <f t="shared" si="5"/>
        <v>1</v>
      </c>
    </row>
    <row r="15" spans="1:29" ht="99.75">
      <c r="A15" s="2937" t="s">
        <v>2756</v>
      </c>
      <c r="B15" s="166" t="s">
        <v>293</v>
      </c>
      <c r="C15" s="867" t="str">
        <f>估价对象房地状况!C3</f>
        <v>估价对象周边居住用地比例、居住小区规模和社区发展完善程度，综合评价居住社区成熟度一般</v>
      </c>
      <c r="D15" s="549">
        <v>100</v>
      </c>
      <c r="E15" s="3497" t="s">
        <v>3356</v>
      </c>
      <c r="F15" s="551">
        <f>SUMIF(76:76,E16,77:77)-SUMIF(76:76,C16,77:77)+100</f>
        <v>110</v>
      </c>
      <c r="G15" s="3497" t="s">
        <v>3357</v>
      </c>
      <c r="H15" s="549">
        <f>SUMIF(76:76,G16,77:77)-SUMIF(76:76,C16,77:77)+100</f>
        <v>110</v>
      </c>
      <c r="I15" s="3497"/>
      <c r="J15" s="549">
        <f>SUMIF(76:76,I16,77:77)-SUMIF(76:76,C16,77:77)+100</f>
        <v>100</v>
      </c>
      <c r="K15" s="868">
        <v>10</v>
      </c>
      <c r="L15" s="2144"/>
      <c r="M15" s="2136"/>
      <c r="N15" s="2136"/>
      <c r="O15" s="2143"/>
      <c r="P15" s="3705" t="s">
        <v>539</v>
      </c>
      <c r="Q15" s="1573" t="str">
        <f t="shared" si="6"/>
        <v>居住社区成熟度</v>
      </c>
      <c r="R15" s="1574" t="s">
        <v>11</v>
      </c>
      <c r="S15" s="1575">
        <f t="shared" si="0"/>
        <v>110</v>
      </c>
      <c r="T15" s="1574" t="s">
        <v>11</v>
      </c>
      <c r="U15" s="1575">
        <f t="shared" si="1"/>
        <v>110</v>
      </c>
      <c r="V15" s="1574" t="s">
        <v>11</v>
      </c>
      <c r="W15" s="1575">
        <f t="shared" si="2"/>
        <v>100</v>
      </c>
      <c r="X15" s="1568"/>
      <c r="Y15" s="3705" t="s">
        <v>539</v>
      </c>
      <c r="Z15" s="1576" t="str">
        <f t="shared" si="7"/>
        <v>居住社区成熟度</v>
      </c>
      <c r="AA15" s="1577">
        <f t="shared" si="3"/>
        <v>0.90909090909090906</v>
      </c>
      <c r="AB15" s="1577">
        <f t="shared" si="4"/>
        <v>0.90909090909090906</v>
      </c>
      <c r="AC15" s="1577">
        <f t="shared" si="5"/>
        <v>1</v>
      </c>
    </row>
    <row r="16" spans="1:29" ht="15">
      <c r="A16" s="532"/>
      <c r="B16" s="869"/>
      <c r="C16" s="576" t="s">
        <v>3256</v>
      </c>
      <c r="D16" s="555"/>
      <c r="E16" s="556" t="s">
        <v>3257</v>
      </c>
      <c r="F16" s="557"/>
      <c r="G16" s="556" t="s">
        <v>3257</v>
      </c>
      <c r="H16" s="559"/>
      <c r="I16" s="576" t="s">
        <v>3256</v>
      </c>
      <c r="J16" s="555"/>
      <c r="K16" s="870"/>
      <c r="L16" s="2144"/>
      <c r="M16" s="2136"/>
      <c r="N16" s="2136"/>
      <c r="O16" s="2143"/>
      <c r="P16" s="3706"/>
      <c r="Q16" s="1573"/>
      <c r="R16" s="1574"/>
      <c r="S16" s="1575"/>
      <c r="T16" s="1574"/>
      <c r="U16" s="1575"/>
      <c r="V16" s="1574"/>
      <c r="W16" s="1575"/>
      <c r="X16" s="1568"/>
      <c r="Y16" s="3706"/>
      <c r="Z16" s="1576"/>
      <c r="AA16" s="1577">
        <v>1</v>
      </c>
      <c r="AB16" s="1577">
        <v>1</v>
      </c>
      <c r="AC16" s="1577">
        <v>1</v>
      </c>
    </row>
    <row r="17" spans="1:29" ht="85.5">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706"/>
      <c r="Q17" s="1573" t="str">
        <f>B17</f>
        <v>交通便捷度</v>
      </c>
      <c r="R17" s="1574" t="s">
        <v>11</v>
      </c>
      <c r="S17" s="1575">
        <f>F17</f>
        <v>100</v>
      </c>
      <c r="T17" s="1574" t="s">
        <v>11</v>
      </c>
      <c r="U17" s="1575">
        <f>H17</f>
        <v>100</v>
      </c>
      <c r="V17" s="1574" t="s">
        <v>11</v>
      </c>
      <c r="W17" s="1575">
        <f>J17</f>
        <v>98</v>
      </c>
      <c r="X17" s="1568"/>
      <c r="Y17" s="3706"/>
      <c r="Z17" s="1576" t="str">
        <f>Q17</f>
        <v>交通便捷度</v>
      </c>
      <c r="AA17" s="1577">
        <f t="shared" si="3"/>
        <v>1</v>
      </c>
      <c r="AB17" s="1577">
        <f t="shared" si="4"/>
        <v>1</v>
      </c>
      <c r="AC17" s="1577">
        <f t="shared" si="5"/>
        <v>1.0204081632653061</v>
      </c>
    </row>
    <row r="18" spans="1:29" ht="15">
      <c r="A18" s="532"/>
      <c r="B18" s="595"/>
      <c r="C18" s="873" t="s">
        <v>3257</v>
      </c>
      <c r="D18" s="559"/>
      <c r="E18" s="568" t="s">
        <v>3257</v>
      </c>
      <c r="F18" s="563"/>
      <c r="G18" s="568" t="s">
        <v>3257</v>
      </c>
      <c r="H18" s="555"/>
      <c r="I18" s="568" t="s">
        <v>3256</v>
      </c>
      <c r="J18" s="555"/>
      <c r="K18" s="870"/>
      <c r="L18" s="2144"/>
      <c r="M18" s="2136"/>
      <c r="N18" s="2136"/>
      <c r="O18" s="2143"/>
      <c r="P18" s="3706"/>
      <c r="Q18" s="1573"/>
      <c r="R18" s="1574"/>
      <c r="S18" s="1575"/>
      <c r="T18" s="1574"/>
      <c r="U18" s="1575"/>
      <c r="V18" s="1574"/>
      <c r="W18" s="1575"/>
      <c r="X18" s="1568"/>
      <c r="Y18" s="3706"/>
      <c r="Z18" s="1576"/>
      <c r="AA18" s="1577">
        <v>1</v>
      </c>
      <c r="AB18" s="1577">
        <v>1</v>
      </c>
      <c r="AC18" s="1577">
        <v>1</v>
      </c>
    </row>
    <row r="19" spans="1:29" ht="42.75">
      <c r="A19" s="532"/>
      <c r="B19" s="2626" t="s">
        <v>2548</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706"/>
      <c r="Q19" s="1573" t="str">
        <f>B19</f>
        <v>公共配套设施</v>
      </c>
      <c r="R19" s="1574" t="s">
        <v>11</v>
      </c>
      <c r="S19" s="1575">
        <f>F19</f>
        <v>100</v>
      </c>
      <c r="T19" s="1574" t="s">
        <v>11</v>
      </c>
      <c r="U19" s="1575">
        <f>H19</f>
        <v>100</v>
      </c>
      <c r="V19" s="1574" t="s">
        <v>11</v>
      </c>
      <c r="W19" s="1575">
        <f>J19</f>
        <v>100</v>
      </c>
      <c r="X19" s="1568"/>
      <c r="Y19" s="3706"/>
      <c r="Z19" s="1576" t="str">
        <f>Q19</f>
        <v>公共配套设施</v>
      </c>
      <c r="AA19" s="1577">
        <f t="shared" si="3"/>
        <v>1</v>
      </c>
      <c r="AB19" s="1577">
        <f t="shared" si="4"/>
        <v>1</v>
      </c>
      <c r="AC19" s="1577">
        <f t="shared" si="5"/>
        <v>1</v>
      </c>
    </row>
    <row r="20" spans="1:29" ht="15">
      <c r="A20" s="532"/>
      <c r="B20" s="595"/>
      <c r="C20" s="576" t="s">
        <v>3257</v>
      </c>
      <c r="D20" s="555"/>
      <c r="E20" s="556" t="s">
        <v>3257</v>
      </c>
      <c r="F20" s="557"/>
      <c r="G20" s="556" t="s">
        <v>3257</v>
      </c>
      <c r="H20" s="555"/>
      <c r="I20" s="556" t="s">
        <v>3257</v>
      </c>
      <c r="J20" s="555"/>
      <c r="K20" s="870"/>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8.5">
      <c r="A21" s="532"/>
      <c r="B21" s="2619" t="s">
        <v>2560</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706"/>
      <c r="Q21" s="2605" t="str">
        <f>B21</f>
        <v>基础设施水平</v>
      </c>
      <c r="R21" s="1574" t="s">
        <v>11</v>
      </c>
      <c r="S21" s="1575">
        <f>F21</f>
        <v>100</v>
      </c>
      <c r="T21" s="1574" t="s">
        <v>11</v>
      </c>
      <c r="U21" s="1575">
        <f>H21</f>
        <v>100</v>
      </c>
      <c r="V21" s="1574" t="s">
        <v>11</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922"/>
      <c r="C22" s="873" t="s">
        <v>3258</v>
      </c>
      <c r="D22" s="555"/>
      <c r="E22" s="576" t="s">
        <v>3258</v>
      </c>
      <c r="F22" s="557"/>
      <c r="G22" s="576" t="s">
        <v>3258</v>
      </c>
      <c r="H22" s="555"/>
      <c r="I22" s="576" t="s">
        <v>3258</v>
      </c>
      <c r="J22" s="555"/>
      <c r="K22" s="2625"/>
      <c r="L22" s="2144"/>
      <c r="M22" s="2136"/>
      <c r="N22" s="2136"/>
      <c r="O22" s="2143"/>
      <c r="P22" s="3706"/>
      <c r="Q22" s="2605"/>
      <c r="R22" s="1574"/>
      <c r="S22" s="1575"/>
      <c r="T22" s="1574"/>
      <c r="U22" s="1575"/>
      <c r="V22" s="1574"/>
      <c r="W22" s="1575"/>
      <c r="X22" s="2607"/>
      <c r="Y22" s="3706"/>
      <c r="Z22" s="2606"/>
      <c r="AA22" s="1577">
        <v>1</v>
      </c>
      <c r="AB22" s="1577">
        <v>1</v>
      </c>
      <c r="AC22" s="1577">
        <v>1</v>
      </c>
    </row>
    <row r="23" spans="1:29" ht="57">
      <c r="A23" s="532"/>
      <c r="B23" s="871" t="s">
        <v>295</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706"/>
      <c r="Q23" s="1573" t="str">
        <f>B23</f>
        <v>自然及人文环境</v>
      </c>
      <c r="R23" s="1574" t="s">
        <v>11</v>
      </c>
      <c r="S23" s="1575">
        <f>F23</f>
        <v>102</v>
      </c>
      <c r="T23" s="1574" t="s">
        <v>11</v>
      </c>
      <c r="U23" s="1575">
        <f>H23</f>
        <v>102</v>
      </c>
      <c r="V23" s="1574" t="s">
        <v>11</v>
      </c>
      <c r="W23" s="1575">
        <f>J23</f>
        <v>102</v>
      </c>
      <c r="X23" s="1568"/>
      <c r="Y23" s="3706"/>
      <c r="Z23" s="1576" t="str">
        <f>Q23</f>
        <v>自然及人文环境</v>
      </c>
      <c r="AA23" s="1577">
        <f t="shared" si="3"/>
        <v>0.98039215686274506</v>
      </c>
      <c r="AB23" s="1577">
        <f t="shared" si="4"/>
        <v>0.98039215686274506</v>
      </c>
      <c r="AC23" s="1577">
        <f t="shared" si="5"/>
        <v>0.98039215686274506</v>
      </c>
    </row>
    <row r="24" spans="1:29" ht="15">
      <c r="A24" s="532"/>
      <c r="B24" s="595"/>
      <c r="C24" s="576" t="s">
        <v>3256</v>
      </c>
      <c r="D24" s="555"/>
      <c r="E24" s="556" t="s">
        <v>3257</v>
      </c>
      <c r="F24" s="557"/>
      <c r="G24" s="556" t="s">
        <v>3257</v>
      </c>
      <c r="H24" s="555"/>
      <c r="I24" s="556" t="s">
        <v>3257</v>
      </c>
      <c r="J24" s="555"/>
      <c r="K24" s="870"/>
      <c r="L24" s="2144"/>
      <c r="M24" s="2136"/>
      <c r="N24" s="2136"/>
      <c r="O24" s="2143"/>
      <c r="P24" s="3706"/>
      <c r="Q24" s="1573"/>
      <c r="R24" s="1574"/>
      <c r="S24" s="1575"/>
      <c r="T24" s="1574"/>
      <c r="U24" s="1575"/>
      <c r="V24" s="1574"/>
      <c r="W24" s="1575"/>
      <c r="X24" s="1568"/>
      <c r="Y24" s="3706"/>
      <c r="Z24" s="1576"/>
      <c r="AA24" s="1577">
        <v>1</v>
      </c>
      <c r="AB24" s="1577">
        <v>1</v>
      </c>
      <c r="AC24" s="1577">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06"/>
      <c r="Q25" s="1573" t="str">
        <f t="shared" ref="Q25:Q46" si="11">B25</f>
        <v>楼层-1</v>
      </c>
      <c r="R25" s="1574" t="s">
        <v>11</v>
      </c>
      <c r="S25" s="1575">
        <f>F25</f>
        <v>100</v>
      </c>
      <c r="T25" s="1574" t="s">
        <v>11</v>
      </c>
      <c r="U25" s="1575">
        <f>H25</f>
        <v>100</v>
      </c>
      <c r="V25" s="1574" t="s">
        <v>11</v>
      </c>
      <c r="W25" s="1575">
        <f>J25</f>
        <v>100</v>
      </c>
      <c r="X25" s="1568"/>
      <c r="Y25" s="3706"/>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06"/>
      <c r="Q26" s="1573" t="str">
        <f t="shared" si="11"/>
        <v>朝向</v>
      </c>
      <c r="R26" s="1574" t="s">
        <v>11</v>
      </c>
      <c r="S26" s="1575">
        <f>F26</f>
        <v>100</v>
      </c>
      <c r="T26" s="1574" t="s">
        <v>11</v>
      </c>
      <c r="U26" s="1575">
        <f>H26</f>
        <v>100</v>
      </c>
      <c r="V26" s="1574" t="s">
        <v>11</v>
      </c>
      <c r="W26" s="1575">
        <f>J26</f>
        <v>100</v>
      </c>
      <c r="X26" s="1568"/>
      <c r="Y26" s="3706"/>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706"/>
      <c r="Q27" s="1151" t="str">
        <f t="shared" si="11"/>
        <v>道路级别</v>
      </c>
      <c r="R27" s="1569" t="s">
        <v>11</v>
      </c>
      <c r="S27" s="1570">
        <f>F27</f>
        <v>100</v>
      </c>
      <c r="T27" s="1569" t="s">
        <v>11</v>
      </c>
      <c r="U27" s="1570">
        <f>H27</f>
        <v>100</v>
      </c>
      <c r="V27" s="1569" t="s">
        <v>11</v>
      </c>
      <c r="W27" s="1570">
        <f>J27</f>
        <v>100</v>
      </c>
      <c r="X27" s="1571"/>
      <c r="Y27" s="370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06"/>
      <c r="Q28" s="1573">
        <f t="shared" si="11"/>
        <v>111</v>
      </c>
      <c r="R28" s="1574" t="s">
        <v>11</v>
      </c>
      <c r="S28" s="1575">
        <f t="shared" ref="S28:S46" si="12">F28</f>
        <v>100</v>
      </c>
      <c r="T28" s="1574" t="s">
        <v>11</v>
      </c>
      <c r="U28" s="1575">
        <f t="shared" ref="U28:U46" si="13">H28</f>
        <v>100</v>
      </c>
      <c r="V28" s="1574" t="s">
        <v>11</v>
      </c>
      <c r="W28" s="1575">
        <f t="shared" ref="W28:W46" si="14">J28</f>
        <v>100</v>
      </c>
      <c r="X28" s="1568"/>
      <c r="Y28" s="370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06"/>
      <c r="Q29" s="1573">
        <f t="shared" si="11"/>
        <v>111</v>
      </c>
      <c r="R29" s="1574" t="s">
        <v>11</v>
      </c>
      <c r="S29" s="1575">
        <f t="shared" si="12"/>
        <v>100</v>
      </c>
      <c r="T29" s="1574" t="s">
        <v>11</v>
      </c>
      <c r="U29" s="1575">
        <f t="shared" si="13"/>
        <v>100</v>
      </c>
      <c r="V29" s="1574" t="s">
        <v>11</v>
      </c>
      <c r="W29" s="1575">
        <f t="shared" si="14"/>
        <v>100</v>
      </c>
      <c r="X29" s="1568"/>
      <c r="Y29" s="370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06"/>
      <c r="Q30" s="1573">
        <f t="shared" si="11"/>
        <v>111</v>
      </c>
      <c r="R30" s="1574" t="s">
        <v>11</v>
      </c>
      <c r="S30" s="1575">
        <f t="shared" si="12"/>
        <v>100</v>
      </c>
      <c r="T30" s="1574" t="s">
        <v>11</v>
      </c>
      <c r="U30" s="1575">
        <f t="shared" si="13"/>
        <v>100</v>
      </c>
      <c r="V30" s="1574" t="s">
        <v>11</v>
      </c>
      <c r="W30" s="1575">
        <f t="shared" si="14"/>
        <v>100</v>
      </c>
      <c r="X30" s="1568"/>
      <c r="Y30" s="370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06"/>
      <c r="Q31" s="1573">
        <f t="shared" si="11"/>
        <v>111</v>
      </c>
      <c r="R31" s="1574" t="s">
        <v>11</v>
      </c>
      <c r="S31" s="1575">
        <f t="shared" si="12"/>
        <v>100</v>
      </c>
      <c r="T31" s="1574" t="s">
        <v>11</v>
      </c>
      <c r="U31" s="1575">
        <f t="shared" si="13"/>
        <v>100</v>
      </c>
      <c r="V31" s="1574" t="s">
        <v>11</v>
      </c>
      <c r="W31" s="1575">
        <f t="shared" si="14"/>
        <v>100</v>
      </c>
      <c r="X31" s="1568"/>
      <c r="Y31" s="3706"/>
      <c r="Z31" s="1576">
        <f t="shared" si="15"/>
        <v>111</v>
      </c>
      <c r="AA31" s="1577">
        <f t="shared" si="3"/>
        <v>1</v>
      </c>
      <c r="AB31" s="1577">
        <f t="shared" si="4"/>
        <v>1</v>
      </c>
      <c r="AC31" s="1577">
        <f t="shared" si="5"/>
        <v>1</v>
      </c>
    </row>
    <row r="32" spans="1:29" ht="15">
      <c r="A32" s="2934" t="s">
        <v>2757</v>
      </c>
      <c r="B32" s="172" t="s">
        <v>724</v>
      </c>
      <c r="C32" s="878" t="s">
        <v>3345</v>
      </c>
      <c r="D32" s="597">
        <v>100</v>
      </c>
      <c r="E32" s="879" t="s">
        <v>3352</v>
      </c>
      <c r="F32" s="575">
        <f>SUMIF(100:100,E32,101:101)-SUMIF(100:100,C32,101:101)+100</f>
        <v>104</v>
      </c>
      <c r="G32" s="879" t="s">
        <v>3352</v>
      </c>
      <c r="H32" s="597">
        <f>SUMIF(100:100,G32,101:101)-SUMIF(100:100,C32,101:101)+100</f>
        <v>104</v>
      </c>
      <c r="I32" s="879" t="s">
        <v>3327</v>
      </c>
      <c r="J32" s="540">
        <f>SUMIF(100:100,I32,101:101)-SUMIF(100:100,C32,101:101)+100</f>
        <v>105</v>
      </c>
      <c r="K32" s="864">
        <v>1</v>
      </c>
      <c r="L32" s="2144"/>
      <c r="M32" s="2136"/>
      <c r="N32" s="2136"/>
      <c r="O32" s="2143"/>
      <c r="P32" s="3707" t="s">
        <v>549</v>
      </c>
      <c r="Q32" s="1573" t="str">
        <f t="shared" si="11"/>
        <v>建筑类型</v>
      </c>
      <c r="R32" s="1574" t="s">
        <v>11</v>
      </c>
      <c r="S32" s="1575">
        <f t="shared" si="12"/>
        <v>104</v>
      </c>
      <c r="T32" s="1574" t="s">
        <v>11</v>
      </c>
      <c r="U32" s="1575">
        <f t="shared" si="13"/>
        <v>104</v>
      </c>
      <c r="V32" s="1574" t="s">
        <v>11</v>
      </c>
      <c r="W32" s="1575">
        <f t="shared" si="14"/>
        <v>105</v>
      </c>
      <c r="X32" s="1568"/>
      <c r="Y32" s="3708" t="s">
        <v>549</v>
      </c>
      <c r="Z32" s="1576" t="str">
        <f t="shared" si="15"/>
        <v>建筑类型</v>
      </c>
      <c r="AA32" s="1577">
        <f t="shared" si="3"/>
        <v>0.96153846153846156</v>
      </c>
      <c r="AB32" s="1577">
        <f t="shared" si="4"/>
        <v>0.96153846153846156</v>
      </c>
      <c r="AC32" s="1577">
        <f t="shared" si="5"/>
        <v>0.95238095238095233</v>
      </c>
    </row>
    <row r="33" spans="1:29" s="1339" customFormat="1" ht="15">
      <c r="A33" s="603"/>
      <c r="B33" s="527" t="s">
        <v>725</v>
      </c>
      <c r="C33" s="880">
        <f>'数据-汇总表'!E3</f>
        <v>104884.84999999999</v>
      </c>
      <c r="D33" s="255">
        <v>100</v>
      </c>
      <c r="E33" s="534">
        <v>43736</v>
      </c>
      <c r="F33" s="863">
        <f>LOOKUP(E33,103:103,104:104)-LOOKUP(C33,103:103,104:104)+100</f>
        <v>98</v>
      </c>
      <c r="G33" s="534">
        <v>100000</v>
      </c>
      <c r="H33" s="255">
        <f>LOOKUP(G33,103:103,104:104)-LOOKUP(C33,103:103,104:104)+100</f>
        <v>100</v>
      </c>
      <c r="I33" s="534">
        <v>170568</v>
      </c>
      <c r="J33" s="255">
        <f>LOOKUP(I33,103:103,104:104)-LOOKUP(C33,103:103,104:104)+100</f>
        <v>100</v>
      </c>
      <c r="K33" s="865"/>
      <c r="L33" s="2142"/>
      <c r="M33" s="2173"/>
      <c r="N33" s="2173"/>
      <c r="O33" s="2145"/>
      <c r="P33" s="3708"/>
      <c r="Q33" s="1606" t="str">
        <f t="shared" si="11"/>
        <v>项目建筑规模</v>
      </c>
      <c r="R33" s="1578" t="s">
        <v>11</v>
      </c>
      <c r="S33" s="1579">
        <f t="shared" si="12"/>
        <v>98</v>
      </c>
      <c r="T33" s="1578" t="s">
        <v>11</v>
      </c>
      <c r="U33" s="1579">
        <f t="shared" si="13"/>
        <v>100</v>
      </c>
      <c r="V33" s="1578" t="s">
        <v>11</v>
      </c>
      <c r="W33" s="1579">
        <f t="shared" si="14"/>
        <v>100</v>
      </c>
      <c r="X33" s="1580"/>
      <c r="Y33" s="3708"/>
      <c r="Z33" s="1581" t="str">
        <f t="shared" si="15"/>
        <v>项目建筑规模</v>
      </c>
      <c r="AA33" s="1577">
        <f t="shared" si="3"/>
        <v>1.0204081632653061</v>
      </c>
      <c r="AB33" s="1577">
        <f t="shared" si="4"/>
        <v>1</v>
      </c>
      <c r="AC33" s="1577">
        <f t="shared" si="5"/>
        <v>1</v>
      </c>
    </row>
    <row r="34" spans="1:29" ht="15">
      <c r="A34" s="594"/>
      <c r="B34" s="527" t="s">
        <v>726</v>
      </c>
      <c r="C34" s="881" t="s">
        <v>3346</v>
      </c>
      <c r="D34" s="540">
        <v>100</v>
      </c>
      <c r="E34" s="882" t="s">
        <v>3346</v>
      </c>
      <c r="F34" s="575">
        <f>SUMIF(105:105,E34,106:106)-SUMIF(105:105,C34,106:106)+100</f>
        <v>100</v>
      </c>
      <c r="G34" s="882" t="s">
        <v>3346</v>
      </c>
      <c r="H34" s="540">
        <f>SUMIF(105:105,G34,106:106)-SUMIF(105:105,C34,106:106)+100</f>
        <v>100</v>
      </c>
      <c r="I34" s="882" t="s">
        <v>3346</v>
      </c>
      <c r="J34" s="540">
        <f>SUMIF(105:105,I34,106:106)-SUMIF(105:105,C34,106:106)+100</f>
        <v>100</v>
      </c>
      <c r="K34" s="864">
        <v>2</v>
      </c>
      <c r="L34" s="2144"/>
      <c r="M34" s="2136"/>
      <c r="N34" s="2136"/>
      <c r="O34" s="2143"/>
      <c r="P34" s="3708"/>
      <c r="Q34" s="1573" t="str">
        <f t="shared" si="11"/>
        <v>建筑结构</v>
      </c>
      <c r="R34" s="1574" t="s">
        <v>11</v>
      </c>
      <c r="S34" s="1575">
        <f t="shared" si="12"/>
        <v>100</v>
      </c>
      <c r="T34" s="1574" t="s">
        <v>11</v>
      </c>
      <c r="U34" s="1575">
        <f t="shared" si="13"/>
        <v>100</v>
      </c>
      <c r="V34" s="1574" t="s">
        <v>11</v>
      </c>
      <c r="W34" s="1575">
        <f t="shared" si="14"/>
        <v>100</v>
      </c>
      <c r="X34" s="1568"/>
      <c r="Y34" s="3708"/>
      <c r="Z34" s="1576" t="str">
        <f t="shared" si="15"/>
        <v>建筑结构</v>
      </c>
      <c r="AA34" s="1577">
        <f t="shared" si="3"/>
        <v>1</v>
      </c>
      <c r="AB34" s="1577">
        <f t="shared" si="4"/>
        <v>1</v>
      </c>
      <c r="AC34" s="1577">
        <f t="shared" si="5"/>
        <v>1</v>
      </c>
    </row>
    <row r="35" spans="1:29" ht="15">
      <c r="A35" s="594"/>
      <c r="B35" s="527" t="s">
        <v>727</v>
      </c>
      <c r="C35" s="599" t="s">
        <v>3347</v>
      </c>
      <c r="D35" s="540">
        <v>100</v>
      </c>
      <c r="E35" s="874" t="s">
        <v>3347</v>
      </c>
      <c r="F35" s="575">
        <f>SUMIF(107:107,E35,108:108)-SUMIF(107:107,C35,108:108)+100</f>
        <v>100</v>
      </c>
      <c r="G35" s="874" t="s">
        <v>3347</v>
      </c>
      <c r="H35" s="540">
        <f>SUMIF(107:107,G35,108:108)-SUMIF(107:107,C35,108:108)+100</f>
        <v>100</v>
      </c>
      <c r="I35" s="874" t="s">
        <v>3347</v>
      </c>
      <c r="J35" s="540">
        <f>SUMIF(107:107,I35,108:108)-SUMIF(107:107,C35,108:108)+100</f>
        <v>100</v>
      </c>
      <c r="K35" s="864">
        <v>2</v>
      </c>
      <c r="L35" s="2144"/>
      <c r="M35" s="2136"/>
      <c r="N35" s="2136"/>
      <c r="O35" s="2143"/>
      <c r="P35" s="3708"/>
      <c r="Q35" s="1573" t="str">
        <f t="shared" si="11"/>
        <v>建筑品质</v>
      </c>
      <c r="R35" s="1574" t="s">
        <v>11</v>
      </c>
      <c r="S35" s="1575">
        <f t="shared" si="12"/>
        <v>100</v>
      </c>
      <c r="T35" s="1574" t="s">
        <v>11</v>
      </c>
      <c r="U35" s="1575">
        <f t="shared" si="13"/>
        <v>100</v>
      </c>
      <c r="V35" s="1574" t="s">
        <v>11</v>
      </c>
      <c r="W35" s="1575">
        <f t="shared" si="14"/>
        <v>100</v>
      </c>
      <c r="X35" s="1568"/>
      <c r="Y35" s="3708"/>
      <c r="Z35" s="1576" t="str">
        <f t="shared" si="15"/>
        <v>建筑品质</v>
      </c>
      <c r="AA35" s="1577">
        <f t="shared" si="3"/>
        <v>1</v>
      </c>
      <c r="AB35" s="1577">
        <f t="shared" si="4"/>
        <v>1</v>
      </c>
      <c r="AC35" s="1577">
        <f t="shared" si="5"/>
        <v>1</v>
      </c>
    </row>
    <row r="36" spans="1:29" ht="15">
      <c r="A36" s="594"/>
      <c r="B36" s="527" t="s">
        <v>728</v>
      </c>
      <c r="C36" s="599" t="s">
        <v>3350</v>
      </c>
      <c r="D36" s="540">
        <v>100</v>
      </c>
      <c r="E36" s="874" t="s">
        <v>3350</v>
      </c>
      <c r="F36" s="575">
        <f>SUMIF(109:109,E36,110:110)-SUMIF(109:109,C36,110:110)+100</f>
        <v>100</v>
      </c>
      <c r="G36" s="874" t="s">
        <v>3350</v>
      </c>
      <c r="H36" s="540">
        <f>SUMIF(109:109,G36,110:110)-SUMIF(109:109,C36,110:110)+100</f>
        <v>100</v>
      </c>
      <c r="I36" s="874" t="s">
        <v>3348</v>
      </c>
      <c r="J36" s="540">
        <f>SUMIF(109:109,I36,110:110)-SUMIF(109:109,C36,110:110)+100</f>
        <v>103</v>
      </c>
      <c r="K36" s="864">
        <v>1</v>
      </c>
      <c r="L36" s="2144"/>
      <c r="M36" s="2136"/>
      <c r="N36" s="2136"/>
      <c r="O36" s="2143"/>
      <c r="P36" s="3708"/>
      <c r="Q36" s="1573" t="str">
        <f t="shared" si="11"/>
        <v>公共部分装修</v>
      </c>
      <c r="R36" s="1574" t="s">
        <v>11</v>
      </c>
      <c r="S36" s="1575">
        <f t="shared" si="12"/>
        <v>100</v>
      </c>
      <c r="T36" s="1574" t="s">
        <v>11</v>
      </c>
      <c r="U36" s="1575">
        <f t="shared" si="13"/>
        <v>100</v>
      </c>
      <c r="V36" s="1574" t="s">
        <v>11</v>
      </c>
      <c r="W36" s="1575">
        <f t="shared" si="14"/>
        <v>103</v>
      </c>
      <c r="X36" s="1568"/>
      <c r="Y36" s="3708"/>
      <c r="Z36" s="1576" t="str">
        <f t="shared" si="15"/>
        <v>公共部分装修</v>
      </c>
      <c r="AA36" s="1577">
        <f t="shared" si="3"/>
        <v>1</v>
      </c>
      <c r="AB36" s="1577">
        <f t="shared" si="4"/>
        <v>1</v>
      </c>
      <c r="AC36" s="1577">
        <f t="shared" si="5"/>
        <v>0.970873786407767</v>
      </c>
    </row>
    <row r="37" spans="1:29" s="1220" customFormat="1" ht="15">
      <c r="A37" s="600"/>
      <c r="B37" s="527" t="s">
        <v>729</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708"/>
      <c r="Q37" s="1151" t="str">
        <f t="shared" si="11"/>
        <v>成新度</v>
      </c>
      <c r="R37" s="1569" t="s">
        <v>11</v>
      </c>
      <c r="S37" s="1570">
        <f t="shared" si="12"/>
        <v>100</v>
      </c>
      <c r="T37" s="1569" t="s">
        <v>11</v>
      </c>
      <c r="U37" s="1570">
        <f t="shared" si="13"/>
        <v>100</v>
      </c>
      <c r="V37" s="1569" t="s">
        <v>11</v>
      </c>
      <c r="W37" s="1570">
        <f t="shared" si="14"/>
        <v>100</v>
      </c>
      <c r="X37" s="1571"/>
      <c r="Y37" s="3708"/>
      <c r="Z37" s="1150" t="str">
        <f t="shared" si="15"/>
        <v>成新度</v>
      </c>
      <c r="AA37" s="1572">
        <f t="shared" si="3"/>
        <v>1</v>
      </c>
      <c r="AB37" s="1572">
        <f t="shared" si="4"/>
        <v>1</v>
      </c>
      <c r="AC37" s="1572">
        <f t="shared" si="5"/>
        <v>1</v>
      </c>
    </row>
    <row r="38" spans="1:29" ht="15">
      <c r="A38" s="594"/>
      <c r="B38" s="527" t="s">
        <v>730</v>
      </c>
      <c r="C38" s="599" t="s">
        <v>3349</v>
      </c>
      <c r="D38" s="540">
        <v>100</v>
      </c>
      <c r="E38" s="599" t="s">
        <v>3349</v>
      </c>
      <c r="F38" s="575">
        <f>SUMIF(114:114,E38,115:115)-SUMIF(114:114,C38,115:115)+100</f>
        <v>100</v>
      </c>
      <c r="G38" s="599" t="s">
        <v>3349</v>
      </c>
      <c r="H38" s="540">
        <f>SUMIF(114:114,G38,115:115)-SUMIF(114:114,C38,115:115)+100</f>
        <v>100</v>
      </c>
      <c r="I38" s="599" t="s">
        <v>3349</v>
      </c>
      <c r="J38" s="540">
        <f>SUMIF(114:114,I38,115:115)-SUMIF(114:114,C38,115:115)+100</f>
        <v>100</v>
      </c>
      <c r="K38" s="864">
        <v>1</v>
      </c>
      <c r="L38" s="2144"/>
      <c r="M38" s="2136"/>
      <c r="N38" s="2136"/>
      <c r="O38" s="2143"/>
      <c r="P38" s="3708" t="s">
        <v>549</v>
      </c>
      <c r="Q38" s="1573" t="str">
        <f t="shared" si="11"/>
        <v>物业管理</v>
      </c>
      <c r="R38" s="1574" t="s">
        <v>11</v>
      </c>
      <c r="S38" s="1575">
        <f t="shared" si="12"/>
        <v>100</v>
      </c>
      <c r="T38" s="1574" t="s">
        <v>11</v>
      </c>
      <c r="U38" s="1575">
        <f t="shared" si="13"/>
        <v>100</v>
      </c>
      <c r="V38" s="1574" t="s">
        <v>11</v>
      </c>
      <c r="W38" s="1575">
        <f t="shared" si="14"/>
        <v>100</v>
      </c>
      <c r="X38" s="1568"/>
      <c r="Y38" s="3708" t="s">
        <v>549</v>
      </c>
      <c r="Z38" s="1576" t="str">
        <f t="shared" si="15"/>
        <v>物业管理</v>
      </c>
      <c r="AA38" s="1577">
        <f t="shared" si="3"/>
        <v>1</v>
      </c>
      <c r="AB38" s="1577">
        <f t="shared" si="4"/>
        <v>1</v>
      </c>
      <c r="AC38" s="1577">
        <f t="shared" si="5"/>
        <v>1</v>
      </c>
    </row>
    <row r="39" spans="1:29" ht="15">
      <c r="A39" s="594"/>
      <c r="B39" s="1897" t="s">
        <v>2566</v>
      </c>
      <c r="C39" s="599" t="s">
        <v>3258</v>
      </c>
      <c r="D39" s="540">
        <v>100</v>
      </c>
      <c r="E39" s="599" t="s">
        <v>3258</v>
      </c>
      <c r="F39" s="575">
        <f>SUMIF(116:116,E39,117:117)-SUMIF(116:116,C39,117:117)+100</f>
        <v>100</v>
      </c>
      <c r="G39" s="599" t="s">
        <v>3258</v>
      </c>
      <c r="H39" s="540">
        <f>SUMIF(116:116,G39,117:117)-SUMIF(116:116,C39,117:117)+100</f>
        <v>100</v>
      </c>
      <c r="I39" s="599" t="s">
        <v>3258</v>
      </c>
      <c r="J39" s="540">
        <f>SUMIF(116:116,I39,117:117)-SUMIF(116:116,C39,117:117)+100</f>
        <v>100</v>
      </c>
      <c r="K39" s="864">
        <v>1</v>
      </c>
      <c r="L39" s="2144"/>
      <c r="M39" s="2136"/>
      <c r="N39" s="2136"/>
      <c r="O39" s="2143"/>
      <c r="P39" s="3708"/>
      <c r="Q39" s="1573" t="str">
        <f t="shared" si="11"/>
        <v>市政基础设施</v>
      </c>
      <c r="R39" s="1574" t="s">
        <v>11</v>
      </c>
      <c r="S39" s="1575">
        <f t="shared" si="12"/>
        <v>100</v>
      </c>
      <c r="T39" s="1574" t="s">
        <v>11</v>
      </c>
      <c r="U39" s="1575">
        <f t="shared" si="13"/>
        <v>100</v>
      </c>
      <c r="V39" s="1574" t="s">
        <v>11</v>
      </c>
      <c r="W39" s="1575">
        <f t="shared" si="14"/>
        <v>100</v>
      </c>
      <c r="X39" s="1568"/>
      <c r="Y39" s="3708"/>
      <c r="Z39" s="1576" t="str">
        <f t="shared" si="15"/>
        <v>市政基础设施</v>
      </c>
      <c r="AA39" s="1577">
        <f t="shared" si="3"/>
        <v>1</v>
      </c>
      <c r="AB39" s="1577">
        <f t="shared" si="4"/>
        <v>1</v>
      </c>
      <c r="AC39" s="1577">
        <f t="shared" si="5"/>
        <v>1</v>
      </c>
    </row>
    <row r="40" spans="1:29" ht="15">
      <c r="A40" s="594"/>
      <c r="B40" s="527" t="s">
        <v>731</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708"/>
      <c r="Q40" s="1573" t="str">
        <f t="shared" si="11"/>
        <v>房型</v>
      </c>
      <c r="R40" s="1574" t="s">
        <v>11</v>
      </c>
      <c r="S40" s="1575">
        <f t="shared" si="12"/>
        <v>100</v>
      </c>
      <c r="T40" s="1574" t="s">
        <v>11</v>
      </c>
      <c r="U40" s="1575">
        <f t="shared" si="13"/>
        <v>100</v>
      </c>
      <c r="V40" s="1574" t="s">
        <v>11</v>
      </c>
      <c r="W40" s="1575">
        <f t="shared" si="14"/>
        <v>100</v>
      </c>
      <c r="X40" s="1568"/>
      <c r="Y40" s="3708"/>
      <c r="Z40" s="1576" t="str">
        <f t="shared" si="15"/>
        <v>房型</v>
      </c>
      <c r="AA40" s="1577">
        <f t="shared" si="3"/>
        <v>1</v>
      </c>
      <c r="AB40" s="1577">
        <f t="shared" si="4"/>
        <v>1</v>
      </c>
      <c r="AC40" s="1577">
        <f t="shared" si="5"/>
        <v>1</v>
      </c>
    </row>
    <row r="41" spans="1:29" s="1339" customFormat="1" ht="28.5">
      <c r="A41" s="603"/>
      <c r="B41" s="527" t="s">
        <v>732</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708"/>
      <c r="Q41" s="1606" t="str">
        <f t="shared" si="11"/>
        <v>单套/主力户型建筑面积</v>
      </c>
      <c r="R41" s="1578" t="s">
        <v>11</v>
      </c>
      <c r="S41" s="1579">
        <f t="shared" si="12"/>
        <v>100</v>
      </c>
      <c r="T41" s="1578" t="s">
        <v>11</v>
      </c>
      <c r="U41" s="1579">
        <f t="shared" si="13"/>
        <v>100</v>
      </c>
      <c r="V41" s="1578" t="s">
        <v>11</v>
      </c>
      <c r="W41" s="1579">
        <f t="shared" si="14"/>
        <v>100</v>
      </c>
      <c r="X41" s="1580"/>
      <c r="Y41" s="3708"/>
      <c r="Z41" s="1581" t="str">
        <f t="shared" si="15"/>
        <v>单套/主力户型建筑面积</v>
      </c>
      <c r="AA41" s="1577">
        <f t="shared" si="3"/>
        <v>1</v>
      </c>
      <c r="AB41" s="1577">
        <f t="shared" si="4"/>
        <v>1</v>
      </c>
      <c r="AC41" s="1577">
        <f t="shared" si="5"/>
        <v>1</v>
      </c>
    </row>
    <row r="42" spans="1:29" ht="15">
      <c r="A42" s="594"/>
      <c r="B42" s="527" t="s">
        <v>733</v>
      </c>
      <c r="C42" s="599" t="s">
        <v>3348</v>
      </c>
      <c r="D42" s="540">
        <v>100</v>
      </c>
      <c r="E42" s="599" t="s">
        <v>3348</v>
      </c>
      <c r="F42" s="575">
        <f>SUMIF(122:122,E42,123:123)-SUMIF(122:122,C42,123:123)+100</f>
        <v>100</v>
      </c>
      <c r="G42" s="599" t="s">
        <v>3348</v>
      </c>
      <c r="H42" s="540">
        <f>SUMIF(122:122,G42,123:123)-SUMIF(122:122,C42,123:123)+100</f>
        <v>100</v>
      </c>
      <c r="I42" s="599" t="s">
        <v>3348</v>
      </c>
      <c r="J42" s="540">
        <f>SUMIF(122:122,I42,123:123)-SUMIF(122:122,C42,123:123)+100</f>
        <v>100</v>
      </c>
      <c r="K42" s="864">
        <v>1</v>
      </c>
      <c r="L42" s="2144"/>
      <c r="M42" s="2136"/>
      <c r="N42" s="2136"/>
      <c r="O42" s="2143"/>
      <c r="P42" s="3708"/>
      <c r="Q42" s="1573" t="str">
        <f t="shared" si="11"/>
        <v>内部装修</v>
      </c>
      <c r="R42" s="1574" t="s">
        <v>11</v>
      </c>
      <c r="S42" s="1575">
        <f t="shared" si="12"/>
        <v>100</v>
      </c>
      <c r="T42" s="1574" t="s">
        <v>11</v>
      </c>
      <c r="U42" s="1575">
        <f t="shared" si="13"/>
        <v>100</v>
      </c>
      <c r="V42" s="1574" t="s">
        <v>11</v>
      </c>
      <c r="W42" s="1575">
        <f t="shared" si="14"/>
        <v>100</v>
      </c>
      <c r="X42" s="1568"/>
      <c r="Y42" s="3708"/>
      <c r="Z42" s="1576" t="str">
        <f t="shared" si="15"/>
        <v>内部装修</v>
      </c>
      <c r="AA42" s="1577">
        <f t="shared" si="3"/>
        <v>1</v>
      </c>
      <c r="AB42" s="1577">
        <f t="shared" si="4"/>
        <v>1</v>
      </c>
      <c r="AC42" s="1577">
        <f t="shared" si="5"/>
        <v>1</v>
      </c>
    </row>
    <row r="43" spans="1:29" ht="27">
      <c r="A43" s="594"/>
      <c r="B43" s="527" t="s">
        <v>734</v>
      </c>
      <c r="C43" s="599" t="s">
        <v>3257</v>
      </c>
      <c r="D43" s="540">
        <v>100</v>
      </c>
      <c r="E43" s="599" t="s">
        <v>3257</v>
      </c>
      <c r="F43" s="575">
        <f>SUMIF(124:124,E43,125:125)-SUMIF(124:124,C43,125:125)+100</f>
        <v>100</v>
      </c>
      <c r="G43" s="599" t="s">
        <v>3257</v>
      </c>
      <c r="H43" s="540">
        <f>SUMIF(124:124,G43,125:125)-SUMIF(124:124,C43,125:125)+100</f>
        <v>100</v>
      </c>
      <c r="I43" s="599" t="s">
        <v>3257</v>
      </c>
      <c r="J43" s="540">
        <f>SUMIF(124:124,I43,125:125)-SUMIF(124:124,C43,125:125)+100</f>
        <v>100</v>
      </c>
      <c r="K43" s="864">
        <v>1</v>
      </c>
      <c r="L43" s="2144"/>
      <c r="M43" s="2136"/>
      <c r="N43" s="2136"/>
      <c r="O43" s="2143"/>
      <c r="P43" s="3708"/>
      <c r="Q43" s="1573" t="str">
        <f t="shared" si="11"/>
        <v>内部装修维护情况</v>
      </c>
      <c r="R43" s="1574" t="s">
        <v>11</v>
      </c>
      <c r="S43" s="1575">
        <f t="shared" si="12"/>
        <v>100</v>
      </c>
      <c r="T43" s="1574" t="s">
        <v>11</v>
      </c>
      <c r="U43" s="1575">
        <f t="shared" si="13"/>
        <v>100</v>
      </c>
      <c r="V43" s="1574" t="s">
        <v>11</v>
      </c>
      <c r="W43" s="1575">
        <f t="shared" si="14"/>
        <v>100</v>
      </c>
      <c r="X43" s="1568"/>
      <c r="Y43" s="370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08"/>
      <c r="Q44" s="1151">
        <f t="shared" si="11"/>
        <v>111</v>
      </c>
      <c r="R44" s="1569" t="s">
        <v>11</v>
      </c>
      <c r="S44" s="1570">
        <f t="shared" si="12"/>
        <v>100</v>
      </c>
      <c r="T44" s="1569" t="s">
        <v>11</v>
      </c>
      <c r="U44" s="1570">
        <f t="shared" si="13"/>
        <v>100</v>
      </c>
      <c r="V44" s="1569" t="s">
        <v>11</v>
      </c>
      <c r="W44" s="1570">
        <f t="shared" si="14"/>
        <v>100</v>
      </c>
      <c r="X44" s="1571"/>
      <c r="Y44" s="370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08"/>
      <c r="Q45" s="1573">
        <f t="shared" si="11"/>
        <v>111</v>
      </c>
      <c r="R45" s="1574" t="s">
        <v>11</v>
      </c>
      <c r="S45" s="1575">
        <f t="shared" si="12"/>
        <v>100</v>
      </c>
      <c r="T45" s="1574" t="s">
        <v>11</v>
      </c>
      <c r="U45" s="1575">
        <f t="shared" si="13"/>
        <v>100</v>
      </c>
      <c r="V45" s="1574" t="s">
        <v>11</v>
      </c>
      <c r="W45" s="1575">
        <f t="shared" si="14"/>
        <v>100</v>
      </c>
      <c r="X45" s="1568"/>
      <c r="Y45" s="370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85"/>
      <c r="Q46" s="1573">
        <f t="shared" si="11"/>
        <v>111</v>
      </c>
      <c r="R46" s="1574" t="s">
        <v>10</v>
      </c>
      <c r="S46" s="1575">
        <f t="shared" si="12"/>
        <v>100</v>
      </c>
      <c r="T46" s="1574" t="s">
        <v>10</v>
      </c>
      <c r="U46" s="1575">
        <f t="shared" si="13"/>
        <v>100</v>
      </c>
      <c r="V46" s="1574" t="s">
        <v>10</v>
      </c>
      <c r="W46" s="1575">
        <f t="shared" si="14"/>
        <v>100</v>
      </c>
      <c r="X46" s="1568"/>
      <c r="Y46" s="3785"/>
      <c r="Z46" s="1576">
        <f t="shared" si="15"/>
        <v>111</v>
      </c>
      <c r="AA46" s="1577">
        <f t="shared" si="3"/>
        <v>1</v>
      </c>
      <c r="AB46" s="1577">
        <f t="shared" si="4"/>
        <v>1</v>
      </c>
      <c r="AC46" s="1577">
        <f t="shared" si="5"/>
        <v>1</v>
      </c>
    </row>
    <row r="47" spans="1:29" ht="15">
      <c r="A47" s="607" t="s">
        <v>735</v>
      </c>
      <c r="B47" s="887"/>
      <c r="C47" s="2653" t="s">
        <v>9</v>
      </c>
      <c r="D47" s="2654"/>
      <c r="E47" s="2655">
        <v>96356</v>
      </c>
      <c r="F47" s="2656"/>
      <c r="G47" s="2657">
        <v>89432</v>
      </c>
      <c r="H47" s="2658"/>
      <c r="I47" s="2655">
        <v>93000</v>
      </c>
      <c r="J47" s="2658"/>
      <c r="K47" s="1607"/>
      <c r="L47" s="2146"/>
      <c r="M47" s="2147"/>
      <c r="N47" s="2136"/>
      <c r="O47" s="2147"/>
      <c r="P47" s="3671" t="str">
        <f>A47</f>
        <v>成交单价（元/平方米）</v>
      </c>
      <c r="Q47" s="3671"/>
      <c r="R47" s="3783">
        <f>E47</f>
        <v>96356</v>
      </c>
      <c r="S47" s="3783"/>
      <c r="T47" s="3783">
        <f>G47</f>
        <v>89432</v>
      </c>
      <c r="U47" s="3783"/>
      <c r="V47" s="3783">
        <f>I47</f>
        <v>93000</v>
      </c>
      <c r="W47" s="3783"/>
      <c r="X47" s="1560"/>
      <c r="Y47" s="1582"/>
      <c r="Z47" s="1560"/>
      <c r="AA47" s="1560"/>
      <c r="AB47" s="1560"/>
      <c r="AC47" s="1560"/>
    </row>
    <row r="48" spans="1:29" ht="15.75" thickBot="1">
      <c r="A48" s="615" t="s">
        <v>2762</v>
      </c>
      <c r="B48" s="888"/>
      <c r="C48" s="2659">
        <f>R49</f>
        <v>80417</v>
      </c>
      <c r="D48" s="2660"/>
      <c r="E48" s="2661">
        <f>R48</f>
        <v>82609</v>
      </c>
      <c r="F48" s="2661"/>
      <c r="G48" s="2659">
        <f>T48</f>
        <v>75139</v>
      </c>
      <c r="H48" s="2660"/>
      <c r="I48" s="2661">
        <f>V48</f>
        <v>83504</v>
      </c>
      <c r="J48" s="2660"/>
      <c r="K48" s="1608"/>
      <c r="L48" s="2146"/>
      <c r="M48" s="2147"/>
      <c r="N48" s="2147"/>
      <c r="O48" s="2147"/>
      <c r="P48" s="3671" t="str">
        <f>A48</f>
        <v>比较价格（元/平方米）</v>
      </c>
      <c r="Q48" s="3671"/>
      <c r="R48" s="3783">
        <f>IF(F1="售价",ROUND(PRODUCT(R47,AA7:AA46),0),ROUND(PRODUCT(R47,AA7:AA46),1))</f>
        <v>82609</v>
      </c>
      <c r="S48" s="3783"/>
      <c r="T48" s="3783">
        <f>IF(F1="售价",ROUND(PRODUCT(T47,AB7:AB46),0),ROUND(PRODUCT(T47,AB7:AB46),1))</f>
        <v>75139</v>
      </c>
      <c r="U48" s="3783"/>
      <c r="V48" s="3783">
        <f>IF(F1="售价",ROUND(PRODUCT(V47,AC7:AC46),0),ROUND(PRODUCT(V47,AC7:AC46),1))</f>
        <v>83504</v>
      </c>
      <c r="W48" s="3783"/>
      <c r="X48" s="1560"/>
      <c r="Y48" s="1560"/>
      <c r="Z48" s="1560"/>
      <c r="AA48" s="1560"/>
      <c r="AB48" s="1560"/>
      <c r="AC48" s="1560"/>
    </row>
    <row r="49" spans="1:29" ht="15.75" thickBot="1">
      <c r="A49" s="621" t="s">
        <v>2936</v>
      </c>
      <c r="B49" s="622"/>
      <c r="C49" s="2662">
        <f>R49</f>
        <v>80417</v>
      </c>
      <c r="D49" s="2662"/>
      <c r="E49" s="2662"/>
      <c r="F49" s="2662"/>
      <c r="G49" s="2662"/>
      <c r="H49" s="2662"/>
      <c r="I49" s="2662"/>
      <c r="J49" s="2662"/>
      <c r="K49" s="1609"/>
      <c r="L49" s="2146"/>
      <c r="M49" s="2147"/>
      <c r="N49" s="2147"/>
      <c r="O49" s="2147"/>
      <c r="P49" s="3668" t="str">
        <f>A49</f>
        <v>估价对象XX用房的比较价格（楼面单价，元/平方米）</v>
      </c>
      <c r="Q49" s="3669"/>
      <c r="R49" s="3784">
        <f>IF(F1="售价",ROUND(AVERAGE(R48:V48),0),ROUND(AVERAGE(R48:V48),1))</f>
        <v>80417</v>
      </c>
      <c r="S49" s="3784"/>
      <c r="T49" s="3784"/>
      <c r="U49" s="3784"/>
      <c r="V49" s="3784"/>
      <c r="W49" s="378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0.16641043954048595</v>
      </c>
      <c r="F52" s="627" t="str">
        <f>IF(OR(E52&gt;=0.3,E52&lt;=-0.3),"超过30%","")</f>
        <v/>
      </c>
      <c r="G52" s="626">
        <f>IF(G47&lt;G48,G48/G47-1,G47/G48-1)</f>
        <v>0.1902207908010487</v>
      </c>
      <c r="H52" s="627" t="str">
        <f>IF(OR(G52&gt;=0.3,G52&lt;=-0.3),"超过30%","")</f>
        <v/>
      </c>
      <c r="I52" s="626">
        <f>IF(I47&lt;I48,I48/I47-1,I47/I48-1)</f>
        <v>0.11371910327648971</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9.9415749477634874E-2</v>
      </c>
      <c r="F53" s="627" t="str">
        <f>IF(OR(E53&gt;=0.2,E53&lt;=-0.2),"超过20%","")</f>
        <v/>
      </c>
      <c r="G53" s="626">
        <f>IF(G48&lt;I48,I48/G48-1,G48/I48-1)</f>
        <v>0.11132700727984135</v>
      </c>
      <c r="H53" s="627" t="str">
        <f>IF(OR(G53&gt;=0.2,G53&lt;=-0.2),"超过20%","")</f>
        <v/>
      </c>
      <c r="I53" s="626">
        <f>IF(I48&lt;E48,E48/I48-1,I48/E48-1)</f>
        <v>1.0834170610950489E-2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90</v>
      </c>
      <c r="E77" s="679">
        <f>D77-$K15</f>
        <v>80</v>
      </c>
      <c r="F77" s="679">
        <f>E77-$K15</f>
        <v>70</v>
      </c>
      <c r="G77" s="679">
        <f>F77-$K15</f>
        <v>60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2560</v>
      </c>
      <c r="C82" s="2624" t="s">
        <v>2561</v>
      </c>
      <c r="D82" s="2624" t="s">
        <v>2562</v>
      </c>
      <c r="E82" s="2624" t="s">
        <v>2563</v>
      </c>
      <c r="F82" s="2624" t="s">
        <v>2564</v>
      </c>
      <c r="G82" s="2624" t="s">
        <v>2565</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482" t="s">
        <v>3328</v>
      </c>
      <c r="D100" s="3482" t="s">
        <v>3322</v>
      </c>
      <c r="E100" s="3482" t="s">
        <v>3323</v>
      </c>
      <c r="F100" s="3482" t="s">
        <v>3324</v>
      </c>
      <c r="G100" s="3482" t="s">
        <v>3325</v>
      </c>
      <c r="H100" s="3482" t="s">
        <v>3326</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t="s">
        <v>3329</v>
      </c>
      <c r="D105" s="688" t="s">
        <v>3330</v>
      </c>
      <c r="E105" s="718" t="s">
        <v>3331</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718" t="s">
        <v>3332</v>
      </c>
      <c r="D107" s="718" t="s">
        <v>3333</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t="s">
        <v>3334</v>
      </c>
      <c r="D109" s="688" t="s">
        <v>3335</v>
      </c>
      <c r="E109" s="688" t="s">
        <v>3336</v>
      </c>
      <c r="F109" s="718" t="s">
        <v>3337</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688" t="s">
        <v>3338</v>
      </c>
      <c r="D114" s="688" t="s">
        <v>3339</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688" t="s">
        <v>3340</v>
      </c>
      <c r="D116" s="688" t="s">
        <v>3341</v>
      </c>
      <c r="E116" s="688" t="s">
        <v>3342</v>
      </c>
      <c r="F116" s="688" t="s">
        <v>3343</v>
      </c>
      <c r="G116" s="688" t="s">
        <v>3344</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t="s">
        <v>3334</v>
      </c>
      <c r="D122" s="688" t="s">
        <v>3335</v>
      </c>
      <c r="E122" s="688" t="s">
        <v>3336</v>
      </c>
      <c r="F122" s="718" t="s">
        <v>3337</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2265</v>
      </c>
      <c r="H138" s="1930" t="s">
        <v>2266</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2270</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2287</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2288</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34"/>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677" t="s">
        <v>521</v>
      </c>
      <c r="D4" s="3678"/>
      <c r="E4" s="3711" t="s">
        <v>522</v>
      </c>
      <c r="F4" s="3712"/>
      <c r="G4" s="3677" t="s">
        <v>523</v>
      </c>
      <c r="H4" s="3678"/>
      <c r="I4" s="3677" t="s">
        <v>524</v>
      </c>
      <c r="J4" s="3678"/>
      <c r="K4" s="514" t="s">
        <v>525</v>
      </c>
      <c r="L4" s="2135"/>
      <c r="M4" s="2136"/>
      <c r="N4" s="2136"/>
      <c r="O4" s="2136"/>
      <c r="P4" s="3679" t="s">
        <v>526</v>
      </c>
      <c r="Q4" s="3680"/>
      <c r="R4" s="3685" t="s">
        <v>522</v>
      </c>
      <c r="S4" s="3686"/>
      <c r="T4" s="3685" t="s">
        <v>523</v>
      </c>
      <c r="U4" s="3686"/>
      <c r="V4" s="3672" t="s">
        <v>524</v>
      </c>
      <c r="W4" s="3672"/>
      <c r="X4" s="1568"/>
      <c r="Y4" s="3685" t="s">
        <v>526</v>
      </c>
      <c r="Z4" s="3686"/>
      <c r="AA4" s="3674" t="s">
        <v>522</v>
      </c>
      <c r="AB4" s="3672" t="s">
        <v>523</v>
      </c>
      <c r="AC4" s="3674" t="s">
        <v>524</v>
      </c>
    </row>
    <row r="5" spans="1:29" ht="15">
      <c r="A5" s="515"/>
      <c r="B5" s="516"/>
      <c r="C5" s="3693" t="s">
        <v>2930</v>
      </c>
      <c r="D5" s="3694"/>
      <c r="E5" s="3713" t="s">
        <v>2931</v>
      </c>
      <c r="F5" s="3714"/>
      <c r="G5" s="3693" t="s">
        <v>2932</v>
      </c>
      <c r="H5" s="3694"/>
      <c r="I5" s="3693" t="s">
        <v>2933</v>
      </c>
      <c r="J5" s="3694"/>
      <c r="K5" s="514"/>
      <c r="L5" s="2135"/>
      <c r="M5" s="2136"/>
      <c r="N5" s="2136"/>
      <c r="O5" s="2136"/>
      <c r="P5" s="3681"/>
      <c r="Q5" s="3682"/>
      <c r="R5" s="3687"/>
      <c r="S5" s="3688"/>
      <c r="T5" s="3687"/>
      <c r="U5" s="3688"/>
      <c r="V5" s="3672"/>
      <c r="W5" s="3672"/>
      <c r="X5" s="1568"/>
      <c r="Y5" s="3687"/>
      <c r="Z5" s="3688"/>
      <c r="AA5" s="3675"/>
      <c r="AB5" s="3672"/>
      <c r="AC5" s="3675"/>
    </row>
    <row r="6" spans="1:29" ht="15.75" thickBot="1">
      <c r="A6" s="517"/>
      <c r="B6" s="518"/>
      <c r="C6" s="3691" t="s">
        <v>2934</v>
      </c>
      <c r="D6" s="3692"/>
      <c r="E6" s="3709" t="s">
        <v>2934</v>
      </c>
      <c r="F6" s="3710"/>
      <c r="G6" s="3691" t="s">
        <v>2934</v>
      </c>
      <c r="H6" s="3692"/>
      <c r="I6" s="3691" t="s">
        <v>2934</v>
      </c>
      <c r="J6" s="3692"/>
      <c r="K6" s="514" t="s">
        <v>527</v>
      </c>
      <c r="L6" s="2135"/>
      <c r="M6" s="2136"/>
      <c r="N6" s="2136"/>
      <c r="O6" s="2136"/>
      <c r="P6" s="3683"/>
      <c r="Q6" s="3684"/>
      <c r="R6" s="3687"/>
      <c r="S6" s="3688"/>
      <c r="T6" s="3689"/>
      <c r="U6" s="3690"/>
      <c r="V6" s="3672"/>
      <c r="W6" s="3672"/>
      <c r="X6" s="1568"/>
      <c r="Y6" s="3689"/>
      <c r="Z6" s="3690"/>
      <c r="AA6" s="3676"/>
      <c r="AB6" s="3672"/>
      <c r="AC6" s="3676"/>
    </row>
    <row r="7" spans="1:29" s="1220" customFormat="1" ht="15.75" thickBot="1">
      <c r="A7" s="2939"/>
      <c r="B7" s="2946" t="s">
        <v>528</v>
      </c>
      <c r="C7" s="519">
        <f>'数据-取费表'!B2</f>
        <v>43166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702" t="s">
        <v>529</v>
      </c>
      <c r="Q7" s="3704"/>
      <c r="R7" s="1569" t="s">
        <v>8</v>
      </c>
      <c r="S7" s="1570">
        <f t="shared" ref="S7:S15" si="0">F7</f>
        <v>0</v>
      </c>
      <c r="T7" s="1569" t="s">
        <v>8</v>
      </c>
      <c r="U7" s="1570">
        <f t="shared" ref="U7:U15" si="1">H7</f>
        <v>0</v>
      </c>
      <c r="V7" s="1569" t="s">
        <v>8</v>
      </c>
      <c r="W7" s="1570">
        <f t="shared" ref="W7:W15" si="2">J7</f>
        <v>0</v>
      </c>
      <c r="X7" s="1571"/>
      <c r="Y7" s="3702" t="s">
        <v>529</v>
      </c>
      <c r="Z7" s="3703"/>
      <c r="AA7" s="1572" t="e">
        <f>D7/F7</f>
        <v>#DIV/0!</v>
      </c>
      <c r="AB7" s="1572" t="e">
        <f>D7/H7</f>
        <v>#DIV/0!</v>
      </c>
      <c r="AC7" s="1572" t="e">
        <f>D7/J7</f>
        <v>#DIV/0!</v>
      </c>
    </row>
    <row r="8" spans="1:29" s="1220" customFormat="1" ht="15.75" thickBot="1">
      <c r="A8" s="2940"/>
      <c r="B8" s="2947"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702" t="s">
        <v>532</v>
      </c>
      <c r="Q8" s="3703"/>
      <c r="R8" s="1569" t="s">
        <v>8</v>
      </c>
      <c r="S8" s="1570">
        <f t="shared" si="0"/>
        <v>0</v>
      </c>
      <c r="T8" s="1569" t="s">
        <v>8</v>
      </c>
      <c r="U8" s="1570">
        <f t="shared" si="1"/>
        <v>0</v>
      </c>
      <c r="V8" s="1569" t="s">
        <v>8</v>
      </c>
      <c r="W8" s="1570">
        <f t="shared" si="2"/>
        <v>0</v>
      </c>
      <c r="X8" s="1571"/>
      <c r="Y8" s="3702" t="s">
        <v>532</v>
      </c>
      <c r="Z8" s="3703"/>
      <c r="AA8" s="1572" t="e">
        <f t="shared" ref="AA8:AA46" si="3">D8/F8</f>
        <v>#DIV/0!</v>
      </c>
      <c r="AB8" s="1572" t="e">
        <f t="shared" ref="AB8:AB46" si="4">D8/H8</f>
        <v>#DIV/0!</v>
      </c>
      <c r="AC8" s="1572" t="e">
        <f t="shared" ref="AC8:AC46" si="5">D8/J8</f>
        <v>#DIV/0!</v>
      </c>
    </row>
    <row r="9" spans="1:29" s="1220" customFormat="1" ht="15">
      <c r="A9" s="2941"/>
      <c r="B9" s="2948" t="s">
        <v>2758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71" t="s">
        <v>534</v>
      </c>
      <c r="Q9" s="1151" t="str">
        <f t="shared" ref="Q9:Q15" si="6">B9</f>
        <v>用途</v>
      </c>
      <c r="R9" s="1569" t="s">
        <v>8</v>
      </c>
      <c r="S9" s="1570">
        <f t="shared" si="0"/>
        <v>100</v>
      </c>
      <c r="T9" s="1569" t="s">
        <v>8</v>
      </c>
      <c r="U9" s="1570">
        <f t="shared" si="1"/>
        <v>100</v>
      </c>
      <c r="V9" s="1569" t="s">
        <v>8</v>
      </c>
      <c r="W9" s="1570">
        <f t="shared" si="2"/>
        <v>100</v>
      </c>
      <c r="X9" s="1571"/>
      <c r="Y9" s="3617" t="s">
        <v>535</v>
      </c>
      <c r="Z9" s="1150" t="str">
        <f t="shared" ref="Z9:Z15" si="7">Q9</f>
        <v>用途</v>
      </c>
      <c r="AA9" s="1572">
        <f t="shared" si="3"/>
        <v>1</v>
      </c>
      <c r="AB9" s="1572">
        <f t="shared" si="4"/>
        <v>1</v>
      </c>
      <c r="AC9" s="1572">
        <f t="shared" si="5"/>
        <v>1</v>
      </c>
    </row>
    <row r="10" spans="1:29" s="1338" customFormat="1" ht="27">
      <c r="A10" s="2942"/>
      <c r="B10" s="2947" t="s">
        <v>2759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3"/>
      <c r="B11" s="2947"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71"/>
      <c r="Q11" s="1151" t="str">
        <f t="shared" si="6"/>
        <v>容积率</v>
      </c>
      <c r="R11" s="1569" t="s">
        <v>8</v>
      </c>
      <c r="S11" s="1570" t="e">
        <f t="shared" si="0"/>
        <v>#N/A</v>
      </c>
      <c r="T11" s="1569" t="s">
        <v>8</v>
      </c>
      <c r="U11" s="1570" t="e">
        <f t="shared" si="1"/>
        <v>#N/A</v>
      </c>
      <c r="V11" s="1569" t="s">
        <v>8</v>
      </c>
      <c r="W11" s="1570" t="e">
        <f t="shared" si="2"/>
        <v>#N/A</v>
      </c>
      <c r="X11" s="1571"/>
      <c r="Y11" s="361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 t="shared" si="3"/>
        <v>1</v>
      </c>
      <c r="AB14" s="1572">
        <f t="shared" si="4"/>
        <v>1</v>
      </c>
      <c r="AC14" s="1572">
        <f t="shared" si="5"/>
        <v>1</v>
      </c>
    </row>
    <row r="15" spans="1:29" ht="71.25">
      <c r="A15" s="2937"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705" t="s">
        <v>539</v>
      </c>
      <c r="Q15" s="1573" t="str">
        <f t="shared" si="6"/>
        <v>商业繁华度</v>
      </c>
      <c r="R15" s="1574" t="s">
        <v>8</v>
      </c>
      <c r="S15" s="1575">
        <f t="shared" si="0"/>
        <v>100</v>
      </c>
      <c r="T15" s="1574" t="s">
        <v>8</v>
      </c>
      <c r="U15" s="1575">
        <f t="shared" si="1"/>
        <v>100</v>
      </c>
      <c r="V15" s="1574" t="s">
        <v>8</v>
      </c>
      <c r="W15" s="1575">
        <f t="shared" si="2"/>
        <v>100</v>
      </c>
      <c r="X15" s="1568"/>
      <c r="Y15" s="3705"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06"/>
      <c r="Q16" s="1573"/>
      <c r="R16" s="1574"/>
      <c r="S16" s="1575"/>
      <c r="T16" s="1574"/>
      <c r="U16" s="1575"/>
      <c r="V16" s="1574"/>
      <c r="W16" s="1575"/>
      <c r="X16" s="1568"/>
      <c r="Y16" s="3706"/>
      <c r="Z16" s="1576"/>
      <c r="AA16" s="1577">
        <v>1</v>
      </c>
      <c r="AB16" s="1577">
        <v>1</v>
      </c>
      <c r="AC16" s="1577">
        <v>1</v>
      </c>
    </row>
    <row r="17" spans="1:29" ht="85.5">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706"/>
      <c r="Q17" s="1573" t="str">
        <f>B17</f>
        <v>交通便捷度</v>
      </c>
      <c r="R17" s="1574" t="s">
        <v>8</v>
      </c>
      <c r="S17" s="1575">
        <f>F17</f>
        <v>100</v>
      </c>
      <c r="T17" s="1574" t="s">
        <v>8</v>
      </c>
      <c r="U17" s="1575">
        <f>H17</f>
        <v>100</v>
      </c>
      <c r="V17" s="1574" t="s">
        <v>8</v>
      </c>
      <c r="W17" s="1575">
        <f>J17</f>
        <v>100</v>
      </c>
      <c r="X17" s="1568"/>
      <c r="Y17" s="370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06"/>
      <c r="Q18" s="1573"/>
      <c r="R18" s="1574"/>
      <c r="S18" s="1575"/>
      <c r="T18" s="1574"/>
      <c r="U18" s="1575"/>
      <c r="V18" s="1574"/>
      <c r="W18" s="1575"/>
      <c r="X18" s="1568"/>
      <c r="Y18" s="3706"/>
      <c r="Z18" s="1576"/>
      <c r="AA18" s="1577">
        <v>1</v>
      </c>
      <c r="AB18" s="1577">
        <v>1</v>
      </c>
      <c r="AC18" s="1577">
        <v>1</v>
      </c>
    </row>
    <row r="19" spans="1:29" ht="42.75">
      <c r="A19" s="532"/>
      <c r="B19" s="2626"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706"/>
      <c r="Q19" s="1573" t="str">
        <f>B19</f>
        <v>公共配套设施</v>
      </c>
      <c r="R19" s="1574" t="s">
        <v>8</v>
      </c>
      <c r="S19" s="1575">
        <f>F19</f>
        <v>100</v>
      </c>
      <c r="T19" s="1574" t="s">
        <v>8</v>
      </c>
      <c r="U19" s="1575">
        <f>H19</f>
        <v>100</v>
      </c>
      <c r="V19" s="1574" t="s">
        <v>8</v>
      </c>
      <c r="W19" s="1575">
        <f>J19</f>
        <v>100</v>
      </c>
      <c r="X19" s="1568"/>
      <c r="Y19" s="370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8.5">
      <c r="A21" s="532"/>
      <c r="B21" s="2619"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706"/>
      <c r="Q21" s="2605" t="str">
        <f>B21</f>
        <v>基础设施水平</v>
      </c>
      <c r="R21" s="1574" t="s">
        <v>8</v>
      </c>
      <c r="S21" s="1575">
        <f>F21</f>
        <v>100</v>
      </c>
      <c r="T21" s="1574" t="s">
        <v>8</v>
      </c>
      <c r="U21" s="1575">
        <f>H21</f>
        <v>100</v>
      </c>
      <c r="V21" s="1574" t="s">
        <v>8</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706"/>
      <c r="Q22" s="2605"/>
      <c r="R22" s="1574"/>
      <c r="S22" s="1575"/>
      <c r="T22" s="1574"/>
      <c r="U22" s="1575"/>
      <c r="V22" s="1574"/>
      <c r="W22" s="1575"/>
      <c r="X22" s="2607"/>
      <c r="Y22" s="3706"/>
      <c r="Z22" s="2606"/>
      <c r="AA22" s="1577">
        <v>1</v>
      </c>
      <c r="AB22" s="1577">
        <v>1</v>
      </c>
      <c r="AC22" s="1577">
        <v>1</v>
      </c>
    </row>
    <row r="23" spans="1:29" ht="57">
      <c r="A23" s="532"/>
      <c r="B23" s="871" t="s">
        <v>295</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706"/>
      <c r="Q23" s="1573" t="str">
        <f>B23</f>
        <v>自然及人文环境</v>
      </c>
      <c r="R23" s="1574" t="s">
        <v>8</v>
      </c>
      <c r="S23" s="1575">
        <f>F23</f>
        <v>100</v>
      </c>
      <c r="T23" s="1574" t="s">
        <v>8</v>
      </c>
      <c r="U23" s="1575">
        <f>H23</f>
        <v>100</v>
      </c>
      <c r="V23" s="1574" t="s">
        <v>8</v>
      </c>
      <c r="W23" s="1575">
        <f>J23</f>
        <v>100</v>
      </c>
      <c r="X23" s="1568"/>
      <c r="Y23" s="370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706"/>
      <c r="Q24" s="1573"/>
      <c r="R24" s="1574"/>
      <c r="S24" s="1575"/>
      <c r="T24" s="1574"/>
      <c r="U24" s="1575"/>
      <c r="V24" s="1574"/>
      <c r="W24" s="1575"/>
      <c r="X24" s="1568"/>
      <c r="Y24" s="3706"/>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706"/>
      <c r="Q25" s="1573" t="str">
        <f t="shared" ref="Q25:Q46" si="11">B25</f>
        <v>临街状况</v>
      </c>
      <c r="R25" s="1574" t="s">
        <v>8</v>
      </c>
      <c r="S25" s="1575">
        <f>F25</f>
        <v>100</v>
      </c>
      <c r="T25" s="1574" t="s">
        <v>8</v>
      </c>
      <c r="U25" s="1575">
        <f>H25</f>
        <v>100</v>
      </c>
      <c r="V25" s="1574" t="s">
        <v>8</v>
      </c>
      <c r="W25" s="1575">
        <f>J25</f>
        <v>100</v>
      </c>
      <c r="X25" s="1568"/>
      <c r="Y25" s="3706"/>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706"/>
      <c r="Q26" s="1573" t="str">
        <f t="shared" si="11"/>
        <v>平面位置/可视性</v>
      </c>
      <c r="R26" s="1574" t="s">
        <v>8</v>
      </c>
      <c r="S26" s="1575">
        <f>F26</f>
        <v>100</v>
      </c>
      <c r="T26" s="1574" t="s">
        <v>8</v>
      </c>
      <c r="U26" s="1575">
        <f>H26</f>
        <v>100</v>
      </c>
      <c r="V26" s="1574" t="s">
        <v>8</v>
      </c>
      <c r="W26" s="1575">
        <f>J26</f>
        <v>100</v>
      </c>
      <c r="X26" s="1568"/>
      <c r="Y26" s="3706"/>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706"/>
      <c r="Q27" s="1151" t="str">
        <f t="shared" si="11"/>
        <v>人流量</v>
      </c>
      <c r="R27" s="1569" t="s">
        <v>8</v>
      </c>
      <c r="S27" s="1570">
        <f>F27</f>
        <v>100</v>
      </c>
      <c r="T27" s="1569" t="s">
        <v>8</v>
      </c>
      <c r="U27" s="1570">
        <f>H27</f>
        <v>100</v>
      </c>
      <c r="V27" s="1569" t="s">
        <v>8</v>
      </c>
      <c r="W27" s="1570">
        <f>J27</f>
        <v>100</v>
      </c>
      <c r="X27" s="1571"/>
      <c r="Y27" s="3706"/>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70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0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706"/>
      <c r="Q29" s="1573">
        <f t="shared" si="11"/>
        <v>111</v>
      </c>
      <c r="R29" s="1574" t="s">
        <v>8</v>
      </c>
      <c r="S29" s="1575">
        <f t="shared" si="12"/>
        <v>100</v>
      </c>
      <c r="T29" s="1574" t="s">
        <v>8</v>
      </c>
      <c r="U29" s="1575">
        <f t="shared" si="13"/>
        <v>100</v>
      </c>
      <c r="V29" s="1574" t="s">
        <v>8</v>
      </c>
      <c r="W29" s="1575">
        <f t="shared" si="14"/>
        <v>100</v>
      </c>
      <c r="X29" s="1568"/>
      <c r="Y29" s="370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706"/>
      <c r="Q30" s="1573">
        <f t="shared" si="11"/>
        <v>111</v>
      </c>
      <c r="R30" s="1574" t="s">
        <v>8</v>
      </c>
      <c r="S30" s="1575">
        <f t="shared" si="12"/>
        <v>100</v>
      </c>
      <c r="T30" s="1574" t="s">
        <v>8</v>
      </c>
      <c r="U30" s="1575">
        <f t="shared" si="13"/>
        <v>100</v>
      </c>
      <c r="V30" s="1574" t="s">
        <v>8</v>
      </c>
      <c r="W30" s="1575">
        <f t="shared" si="14"/>
        <v>100</v>
      </c>
      <c r="X30" s="1568"/>
      <c r="Y30" s="370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706"/>
      <c r="Q31" s="1573">
        <f t="shared" si="11"/>
        <v>111</v>
      </c>
      <c r="R31" s="1574" t="s">
        <v>8</v>
      </c>
      <c r="S31" s="1575">
        <f t="shared" si="12"/>
        <v>100</v>
      </c>
      <c r="T31" s="1574" t="s">
        <v>8</v>
      </c>
      <c r="U31" s="1575">
        <f t="shared" si="13"/>
        <v>100</v>
      </c>
      <c r="V31" s="1574" t="s">
        <v>8</v>
      </c>
      <c r="W31" s="1575">
        <f t="shared" si="14"/>
        <v>100</v>
      </c>
      <c r="X31" s="1568"/>
      <c r="Y31" s="3706"/>
      <c r="Z31" s="1576">
        <f t="shared" si="15"/>
        <v>111</v>
      </c>
      <c r="AA31" s="1577">
        <f t="shared" si="3"/>
        <v>1</v>
      </c>
      <c r="AB31" s="1577">
        <f t="shared" si="4"/>
        <v>1</v>
      </c>
      <c r="AC31" s="1577">
        <f t="shared" si="5"/>
        <v>1</v>
      </c>
    </row>
    <row r="32" spans="1:29" ht="15">
      <c r="A32" s="2934"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707" t="s">
        <v>549</v>
      </c>
      <c r="Q32" s="1573" t="str">
        <f t="shared" si="11"/>
        <v>商业类型</v>
      </c>
      <c r="R32" s="1574" t="s">
        <v>8</v>
      </c>
      <c r="S32" s="1575">
        <f t="shared" si="12"/>
        <v>100</v>
      </c>
      <c r="T32" s="1574" t="s">
        <v>8</v>
      </c>
      <c r="U32" s="1575">
        <f t="shared" si="13"/>
        <v>100</v>
      </c>
      <c r="V32" s="1574" t="s">
        <v>8</v>
      </c>
      <c r="W32" s="1575">
        <f t="shared" si="14"/>
        <v>100</v>
      </c>
      <c r="X32" s="1568"/>
      <c r="Y32" s="3708"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708"/>
      <c r="Q33" s="1606" t="str">
        <f t="shared" si="11"/>
        <v>项目建筑规模</v>
      </c>
      <c r="R33" s="1578" t="s">
        <v>8</v>
      </c>
      <c r="S33" s="1579" t="e">
        <f t="shared" si="12"/>
        <v>#N/A</v>
      </c>
      <c r="T33" s="1578" t="s">
        <v>8</v>
      </c>
      <c r="U33" s="1579" t="e">
        <f t="shared" si="13"/>
        <v>#N/A</v>
      </c>
      <c r="V33" s="1578" t="s">
        <v>8</v>
      </c>
      <c r="W33" s="1579" t="e">
        <f t="shared" si="14"/>
        <v>#N/A</v>
      </c>
      <c r="X33" s="1580"/>
      <c r="Y33" s="3708"/>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708"/>
      <c r="Q34" s="1573" t="str">
        <f t="shared" si="11"/>
        <v>建筑结构</v>
      </c>
      <c r="R34" s="1574" t="s">
        <v>8</v>
      </c>
      <c r="S34" s="1575">
        <f t="shared" si="12"/>
        <v>100</v>
      </c>
      <c r="T34" s="1574" t="s">
        <v>8</v>
      </c>
      <c r="U34" s="1575">
        <f t="shared" si="13"/>
        <v>100</v>
      </c>
      <c r="V34" s="1574" t="s">
        <v>8</v>
      </c>
      <c r="W34" s="1575">
        <f t="shared" si="14"/>
        <v>100</v>
      </c>
      <c r="X34" s="1568"/>
      <c r="Y34" s="3708"/>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708"/>
      <c r="Q35" s="1573" t="str">
        <f t="shared" si="11"/>
        <v>公共部分装修</v>
      </c>
      <c r="R35" s="1574" t="s">
        <v>8</v>
      </c>
      <c r="S35" s="1575">
        <f t="shared" si="12"/>
        <v>100</v>
      </c>
      <c r="T35" s="1574" t="s">
        <v>8</v>
      </c>
      <c r="U35" s="1575">
        <f t="shared" si="13"/>
        <v>100</v>
      </c>
      <c r="V35" s="1574" t="s">
        <v>8</v>
      </c>
      <c r="W35" s="1575">
        <f t="shared" si="14"/>
        <v>100</v>
      </c>
      <c r="X35" s="1568"/>
      <c r="Y35" s="3708"/>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708"/>
      <c r="Q36" s="1573" t="str">
        <f t="shared" si="11"/>
        <v>成新度</v>
      </c>
      <c r="R36" s="1574" t="s">
        <v>8</v>
      </c>
      <c r="S36" s="1575" t="e">
        <f t="shared" si="12"/>
        <v>#N/A</v>
      </c>
      <c r="T36" s="1574" t="s">
        <v>8</v>
      </c>
      <c r="U36" s="1575" t="e">
        <f t="shared" si="13"/>
        <v>#N/A</v>
      </c>
      <c r="V36" s="1574" t="s">
        <v>8</v>
      </c>
      <c r="W36" s="1575" t="e">
        <f t="shared" si="14"/>
        <v>#N/A</v>
      </c>
      <c r="X36" s="1568"/>
      <c r="Y36" s="3708"/>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708"/>
      <c r="Q37" s="1151" t="str">
        <f t="shared" si="11"/>
        <v>市政基础设施</v>
      </c>
      <c r="R37" s="1569" t="s">
        <v>8</v>
      </c>
      <c r="S37" s="1570">
        <f t="shared" si="12"/>
        <v>100</v>
      </c>
      <c r="T37" s="1569" t="s">
        <v>8</v>
      </c>
      <c r="U37" s="1570">
        <f t="shared" si="13"/>
        <v>100</v>
      </c>
      <c r="V37" s="1569" t="s">
        <v>8</v>
      </c>
      <c r="W37" s="1570">
        <f t="shared" si="14"/>
        <v>100</v>
      </c>
      <c r="X37" s="1571"/>
      <c r="Y37" s="3708"/>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708" t="s">
        <v>765</v>
      </c>
      <c r="Q38" s="1573" t="str">
        <f t="shared" si="11"/>
        <v>业态</v>
      </c>
      <c r="R38" s="1574" t="s">
        <v>8</v>
      </c>
      <c r="S38" s="1575">
        <f t="shared" si="12"/>
        <v>100</v>
      </c>
      <c r="T38" s="1574" t="s">
        <v>8</v>
      </c>
      <c r="U38" s="1575">
        <f t="shared" si="13"/>
        <v>100</v>
      </c>
      <c r="V38" s="1574" t="s">
        <v>8</v>
      </c>
      <c r="W38" s="1575">
        <f t="shared" si="14"/>
        <v>100</v>
      </c>
      <c r="X38" s="1568"/>
      <c r="Y38" s="3708"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08"/>
      <c r="Q39" s="1573" t="str">
        <f t="shared" si="11"/>
        <v>层高</v>
      </c>
      <c r="R39" s="1574" t="s">
        <v>8</v>
      </c>
      <c r="S39" s="1575">
        <f t="shared" si="12"/>
        <v>100</v>
      </c>
      <c r="T39" s="1574" t="s">
        <v>8</v>
      </c>
      <c r="U39" s="1575">
        <f t="shared" si="13"/>
        <v>100</v>
      </c>
      <c r="V39" s="1574" t="s">
        <v>8</v>
      </c>
      <c r="W39" s="1575">
        <f t="shared" si="14"/>
        <v>100</v>
      </c>
      <c r="X39" s="1568"/>
      <c r="Y39" s="3708"/>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708"/>
      <c r="Q40" s="1573" t="str">
        <f t="shared" si="11"/>
        <v>单套建筑面积</v>
      </c>
      <c r="R40" s="1574" t="s">
        <v>8</v>
      </c>
      <c r="S40" s="1575">
        <f t="shared" si="12"/>
        <v>100</v>
      </c>
      <c r="T40" s="1574" t="s">
        <v>8</v>
      </c>
      <c r="U40" s="1575">
        <f t="shared" si="13"/>
        <v>100</v>
      </c>
      <c r="V40" s="1574" t="s">
        <v>8</v>
      </c>
      <c r="W40" s="1575">
        <f t="shared" si="14"/>
        <v>100</v>
      </c>
      <c r="X40" s="1568"/>
      <c r="Y40" s="3708"/>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708"/>
      <c r="Q41" s="1606" t="str">
        <f t="shared" si="11"/>
        <v>进深比</v>
      </c>
      <c r="R41" s="1578" t="s">
        <v>8</v>
      </c>
      <c r="S41" s="1579">
        <f t="shared" si="12"/>
        <v>100</v>
      </c>
      <c r="T41" s="1578" t="s">
        <v>8</v>
      </c>
      <c r="U41" s="1579">
        <f t="shared" si="13"/>
        <v>100</v>
      </c>
      <c r="V41" s="1578" t="s">
        <v>8</v>
      </c>
      <c r="W41" s="1579">
        <f t="shared" si="14"/>
        <v>100</v>
      </c>
      <c r="X41" s="1580"/>
      <c r="Y41" s="3708"/>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708"/>
      <c r="Q42" s="1573" t="str">
        <f t="shared" si="11"/>
        <v>内部装修</v>
      </c>
      <c r="R42" s="1574" t="s">
        <v>8</v>
      </c>
      <c r="S42" s="1575">
        <f t="shared" si="12"/>
        <v>100</v>
      </c>
      <c r="T42" s="1574" t="s">
        <v>8</v>
      </c>
      <c r="U42" s="1575">
        <f t="shared" si="13"/>
        <v>100</v>
      </c>
      <c r="V42" s="1574" t="s">
        <v>8</v>
      </c>
      <c r="W42" s="1575">
        <f t="shared" si="14"/>
        <v>100</v>
      </c>
      <c r="X42" s="1568"/>
      <c r="Y42" s="3708"/>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708"/>
      <c r="Q43" s="1573" t="str">
        <f t="shared" si="11"/>
        <v>内部装修维护情况</v>
      </c>
      <c r="R43" s="1574" t="s">
        <v>8</v>
      </c>
      <c r="S43" s="1575">
        <f t="shared" si="12"/>
        <v>100</v>
      </c>
      <c r="T43" s="1574" t="s">
        <v>8</v>
      </c>
      <c r="U43" s="1575">
        <f t="shared" si="13"/>
        <v>100</v>
      </c>
      <c r="V43" s="1574" t="s">
        <v>8</v>
      </c>
      <c r="W43" s="1575">
        <f t="shared" si="14"/>
        <v>100</v>
      </c>
      <c r="X43" s="1568"/>
      <c r="Y43" s="370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708"/>
      <c r="Q44" s="1151">
        <f t="shared" si="11"/>
        <v>111</v>
      </c>
      <c r="R44" s="1569" t="s">
        <v>8</v>
      </c>
      <c r="S44" s="1570">
        <f t="shared" si="12"/>
        <v>100</v>
      </c>
      <c r="T44" s="1569" t="s">
        <v>8</v>
      </c>
      <c r="U44" s="1570">
        <f t="shared" si="13"/>
        <v>100</v>
      </c>
      <c r="V44" s="1569" t="s">
        <v>8</v>
      </c>
      <c r="W44" s="1570">
        <f t="shared" si="14"/>
        <v>100</v>
      </c>
      <c r="X44" s="1571"/>
      <c r="Y44" s="370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708"/>
      <c r="Q45" s="1573">
        <f t="shared" si="11"/>
        <v>111</v>
      </c>
      <c r="R45" s="1574" t="s">
        <v>8</v>
      </c>
      <c r="S45" s="1575">
        <f t="shared" si="12"/>
        <v>100</v>
      </c>
      <c r="T45" s="1574" t="s">
        <v>8</v>
      </c>
      <c r="U45" s="1575">
        <f t="shared" si="13"/>
        <v>100</v>
      </c>
      <c r="V45" s="1574" t="s">
        <v>8</v>
      </c>
      <c r="W45" s="1575">
        <f t="shared" si="14"/>
        <v>100</v>
      </c>
      <c r="X45" s="1568"/>
      <c r="Y45" s="370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85"/>
      <c r="Q46" s="1573">
        <f t="shared" si="11"/>
        <v>111</v>
      </c>
      <c r="R46" s="1574" t="s">
        <v>8</v>
      </c>
      <c r="S46" s="1575">
        <f t="shared" si="12"/>
        <v>100</v>
      </c>
      <c r="T46" s="1574" t="s">
        <v>8</v>
      </c>
      <c r="U46" s="1575">
        <f t="shared" si="13"/>
        <v>100</v>
      </c>
      <c r="V46" s="1574" t="s">
        <v>8</v>
      </c>
      <c r="W46" s="1575">
        <f t="shared" si="14"/>
        <v>100</v>
      </c>
      <c r="X46" s="1568"/>
      <c r="Y46" s="3785"/>
      <c r="Z46" s="1576">
        <f t="shared" si="15"/>
        <v>111</v>
      </c>
      <c r="AA46" s="1577">
        <f t="shared" si="3"/>
        <v>1</v>
      </c>
      <c r="AB46" s="1577">
        <f t="shared" si="4"/>
        <v>1</v>
      </c>
      <c r="AC46" s="1577">
        <f t="shared" si="5"/>
        <v>1</v>
      </c>
    </row>
    <row r="47" spans="1:29" ht="15">
      <c r="A47" s="607" t="s">
        <v>735</v>
      </c>
      <c r="B47" s="887"/>
      <c r="C47" s="2653" t="s">
        <v>1</v>
      </c>
      <c r="D47" s="2654"/>
      <c r="E47" s="2655"/>
      <c r="F47" s="2656"/>
      <c r="G47" s="2657"/>
      <c r="H47" s="2658"/>
      <c r="I47" s="2655"/>
      <c r="J47" s="2658"/>
      <c r="K47" s="1612"/>
      <c r="L47" s="2146"/>
      <c r="M47" s="2147"/>
      <c r="N47" s="2136"/>
      <c r="O47" s="2147"/>
      <c r="P47" s="3671" t="str">
        <f>A47</f>
        <v>成交单价（元/平方米）</v>
      </c>
      <c r="Q47" s="3671"/>
      <c r="R47" s="3783">
        <f>E47</f>
        <v>0</v>
      </c>
      <c r="S47" s="3783"/>
      <c r="T47" s="3783">
        <f>G47</f>
        <v>0</v>
      </c>
      <c r="U47" s="3783"/>
      <c r="V47" s="3783">
        <f>I47</f>
        <v>0</v>
      </c>
      <c r="W47" s="3783"/>
      <c r="X47" s="1560"/>
      <c r="Y47" s="1582"/>
      <c r="Z47" s="1560"/>
      <c r="AA47" s="1560"/>
      <c r="AB47" s="1560"/>
      <c r="AC47" s="1560"/>
    </row>
    <row r="48" spans="1:29" ht="15.75" thickBot="1">
      <c r="A48" s="615" t="s">
        <v>2762</v>
      </c>
      <c r="B48" s="888"/>
      <c r="C48" s="2659" t="e">
        <f>R49</f>
        <v>#DIV/0!</v>
      </c>
      <c r="D48" s="2660"/>
      <c r="E48" s="2661" t="e">
        <f>R48</f>
        <v>#DIV/0!</v>
      </c>
      <c r="F48" s="2661"/>
      <c r="G48" s="2659" t="e">
        <f>T48</f>
        <v>#DIV/0!</v>
      </c>
      <c r="H48" s="2660"/>
      <c r="I48" s="2661" t="e">
        <f>V48</f>
        <v>#DIV/0!</v>
      </c>
      <c r="J48" s="2660"/>
      <c r="K48" s="1613"/>
      <c r="L48" s="2146"/>
      <c r="M48" s="2147"/>
      <c r="N48" s="2136"/>
      <c r="O48" s="2147"/>
      <c r="P48" s="3671" t="str">
        <f>A48</f>
        <v>比较价格（元/平方米）</v>
      </c>
      <c r="Q48" s="3671"/>
      <c r="R48" s="3783" t="e">
        <f>IF(F1="售价",ROUND(PRODUCT(R47,AA7:AA46),0),ROUND(PRODUCT(R47,AA7:AA46),1))</f>
        <v>#DIV/0!</v>
      </c>
      <c r="S48" s="3783"/>
      <c r="T48" s="3783" t="e">
        <f>IF(F1="售价",ROUND(PRODUCT(T47,AB7:AB46),0),ROUND(PRODUCT(T47,AB7:AB46),1))</f>
        <v>#DIV/0!</v>
      </c>
      <c r="U48" s="3783"/>
      <c r="V48" s="3783" t="e">
        <f>IF(F1="售价",ROUND(PRODUCT(V47,AC7:AC46),0),ROUND(PRODUCT(V47,AC7:AC46),1))</f>
        <v>#DIV/0!</v>
      </c>
      <c r="W48" s="3783"/>
      <c r="X48" s="1560"/>
      <c r="Y48" s="1560"/>
      <c r="Z48" s="1560"/>
      <c r="AA48" s="1560"/>
      <c r="AB48" s="1560"/>
      <c r="AC48" s="1560"/>
    </row>
    <row r="49" spans="1:29" ht="15.75" thickBot="1">
      <c r="A49" s="621" t="s">
        <v>2936</v>
      </c>
      <c r="B49" s="622"/>
      <c r="C49" s="2662" t="e">
        <f>R49</f>
        <v>#DIV/0!</v>
      </c>
      <c r="D49" s="2662"/>
      <c r="E49" s="2662"/>
      <c r="F49" s="2662"/>
      <c r="G49" s="2662"/>
      <c r="H49" s="2662"/>
      <c r="I49" s="2662"/>
      <c r="J49" s="2662"/>
      <c r="K49" s="1614"/>
      <c r="L49" s="2146"/>
      <c r="M49" s="2147"/>
      <c r="N49" s="2136"/>
      <c r="O49" s="2147"/>
      <c r="P49" s="3668" t="str">
        <f>A49</f>
        <v>估价对象XX用房的比较价格（楼面单价，元/平方米）</v>
      </c>
      <c r="Q49" s="3669"/>
      <c r="R49" s="3784" t="e">
        <f>IF(F1="售价",ROUND(AVERAGE(R48:V48),0),ROUND(AVERAGE(R48:V48),1))</f>
        <v>#DIV/0!</v>
      </c>
      <c r="S49" s="3784"/>
      <c r="T49" s="3784"/>
      <c r="U49" s="3784"/>
      <c r="V49" s="3784"/>
      <c r="W49" s="378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29"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2560</v>
      </c>
      <c r="C82" s="2624" t="s">
        <v>2561</v>
      </c>
      <c r="D82" s="2624" t="s">
        <v>2562</v>
      </c>
      <c r="E82" s="2624" t="s">
        <v>2563</v>
      </c>
      <c r="F82" s="2624" t="s">
        <v>2564</v>
      </c>
      <c r="G82" s="2624" t="s">
        <v>2565</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4"/>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677" t="s">
        <v>521</v>
      </c>
      <c r="D4" s="3678"/>
      <c r="E4" s="3711" t="s">
        <v>522</v>
      </c>
      <c r="F4" s="3712"/>
      <c r="G4" s="3677" t="s">
        <v>523</v>
      </c>
      <c r="H4" s="3678"/>
      <c r="I4" s="3677" t="s">
        <v>524</v>
      </c>
      <c r="J4" s="3678"/>
      <c r="K4" s="514" t="s">
        <v>525</v>
      </c>
      <c r="L4" s="2135"/>
      <c r="M4" s="2136"/>
      <c r="N4" s="2136"/>
      <c r="O4" s="2136"/>
      <c r="P4" s="3791" t="s">
        <v>526</v>
      </c>
      <c r="Q4" s="3680"/>
      <c r="R4" s="3685" t="s">
        <v>522</v>
      </c>
      <c r="S4" s="3686"/>
      <c r="T4" s="3685" t="s">
        <v>523</v>
      </c>
      <c r="U4" s="3686"/>
      <c r="V4" s="3672" t="s">
        <v>524</v>
      </c>
      <c r="W4" s="3672"/>
      <c r="X4" s="1568"/>
      <c r="Y4" s="3685" t="s">
        <v>526</v>
      </c>
      <c r="Z4" s="3686"/>
      <c r="AA4" s="3674" t="s">
        <v>522</v>
      </c>
      <c r="AB4" s="3674" t="s">
        <v>523</v>
      </c>
      <c r="AC4" s="3674" t="s">
        <v>524</v>
      </c>
    </row>
    <row r="5" spans="1:29" ht="15">
      <c r="A5" s="515"/>
      <c r="B5" s="516"/>
      <c r="C5" s="3693" t="s">
        <v>2930</v>
      </c>
      <c r="D5" s="3694"/>
      <c r="E5" s="3713" t="s">
        <v>2931</v>
      </c>
      <c r="F5" s="3714"/>
      <c r="G5" s="3693" t="s">
        <v>2932</v>
      </c>
      <c r="H5" s="3694"/>
      <c r="I5" s="3693" t="s">
        <v>2933</v>
      </c>
      <c r="J5" s="3694"/>
      <c r="K5" s="514"/>
      <c r="L5" s="2135"/>
      <c r="M5" s="2136"/>
      <c r="N5" s="2136"/>
      <c r="O5" s="2136"/>
      <c r="P5" s="3792"/>
      <c r="Q5" s="3682"/>
      <c r="R5" s="3687"/>
      <c r="S5" s="3688"/>
      <c r="T5" s="3687"/>
      <c r="U5" s="3688"/>
      <c r="V5" s="3672"/>
      <c r="W5" s="3672"/>
      <c r="X5" s="1568"/>
      <c r="Y5" s="3687"/>
      <c r="Z5" s="3688"/>
      <c r="AA5" s="3675"/>
      <c r="AB5" s="3675"/>
      <c r="AC5" s="3675"/>
    </row>
    <row r="6" spans="1:29" ht="15.75" thickBot="1">
      <c r="A6" s="517"/>
      <c r="B6" s="518"/>
      <c r="C6" s="3691" t="s">
        <v>2934</v>
      </c>
      <c r="D6" s="3692"/>
      <c r="E6" s="3709" t="s">
        <v>2934</v>
      </c>
      <c r="F6" s="3710"/>
      <c r="G6" s="3691" t="s">
        <v>2934</v>
      </c>
      <c r="H6" s="3692"/>
      <c r="I6" s="3691" t="s">
        <v>2934</v>
      </c>
      <c r="J6" s="3692"/>
      <c r="K6" s="514" t="s">
        <v>527</v>
      </c>
      <c r="L6" s="2135"/>
      <c r="M6" s="2136"/>
      <c r="N6" s="2136"/>
      <c r="O6" s="2136"/>
      <c r="P6" s="3793"/>
      <c r="Q6" s="3684"/>
      <c r="R6" s="3687"/>
      <c r="S6" s="3688"/>
      <c r="T6" s="3689"/>
      <c r="U6" s="3690"/>
      <c r="V6" s="3672"/>
      <c r="W6" s="3672"/>
      <c r="X6" s="1568"/>
      <c r="Y6" s="3689"/>
      <c r="Z6" s="3690"/>
      <c r="AA6" s="3676"/>
      <c r="AB6" s="3676"/>
      <c r="AC6" s="3676"/>
    </row>
    <row r="7" spans="1:29" s="1220" customFormat="1" ht="15.75" thickBot="1">
      <c r="A7" s="2939"/>
      <c r="B7" s="2946" t="s">
        <v>528</v>
      </c>
      <c r="C7" s="519">
        <f>'数据-取费表'!B2</f>
        <v>43166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704" t="s">
        <v>529</v>
      </c>
      <c r="Q7" s="3704"/>
      <c r="R7" s="1569" t="s">
        <v>8</v>
      </c>
      <c r="S7" s="1570">
        <f t="shared" ref="S7:S15" si="0">F7</f>
        <v>0</v>
      </c>
      <c r="T7" s="1569" t="s">
        <v>8</v>
      </c>
      <c r="U7" s="1570">
        <f t="shared" ref="U7:U15" si="1">H7</f>
        <v>0</v>
      </c>
      <c r="V7" s="1569" t="s">
        <v>8</v>
      </c>
      <c r="W7" s="1570">
        <f t="shared" ref="W7:W15" si="2">J7</f>
        <v>0</v>
      </c>
      <c r="X7" s="1571"/>
      <c r="Y7" s="3702" t="s">
        <v>529</v>
      </c>
      <c r="Z7" s="3703"/>
      <c r="AA7" s="1572" t="e">
        <f>D7/F7</f>
        <v>#DIV/0!</v>
      </c>
      <c r="AB7" s="1572" t="e">
        <f>D7/H7</f>
        <v>#DIV/0!</v>
      </c>
      <c r="AC7" s="1572" t="e">
        <f>D7/J7</f>
        <v>#DIV/0!</v>
      </c>
    </row>
    <row r="8" spans="1:29" s="1220" customFormat="1" ht="15.75" thickBot="1">
      <c r="A8" s="2940"/>
      <c r="B8" s="2947"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704" t="s">
        <v>532</v>
      </c>
      <c r="Q8" s="3703"/>
      <c r="R8" s="1569" t="s">
        <v>8</v>
      </c>
      <c r="S8" s="1570">
        <f t="shared" si="0"/>
        <v>0</v>
      </c>
      <c r="T8" s="1569" t="s">
        <v>8</v>
      </c>
      <c r="U8" s="1570">
        <f t="shared" si="1"/>
        <v>0</v>
      </c>
      <c r="V8" s="1569" t="s">
        <v>8</v>
      </c>
      <c r="W8" s="1570">
        <f t="shared" si="2"/>
        <v>0</v>
      </c>
      <c r="X8" s="1571"/>
      <c r="Y8" s="3702" t="s">
        <v>532</v>
      </c>
      <c r="Z8" s="3703"/>
      <c r="AA8" s="1572" t="e">
        <f t="shared" ref="AA8:AA47" si="3">D8/F8</f>
        <v>#DIV/0!</v>
      </c>
      <c r="AB8" s="1572" t="e">
        <f t="shared" ref="AB8:AB47" si="4">D8/H8</f>
        <v>#DIV/0!</v>
      </c>
      <c r="AC8" s="1572" t="e">
        <f t="shared" ref="AC8:AC47" si="5">D8/J8</f>
        <v>#DIV/0!</v>
      </c>
    </row>
    <row r="9" spans="1:29" s="1220" customFormat="1" ht="15">
      <c r="A9" s="2941"/>
      <c r="B9" s="2948" t="s">
        <v>2758</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671" t="s">
        <v>534</v>
      </c>
      <c r="Q9" s="1151" t="str">
        <f t="shared" ref="Q9:Q15" si="6">B9</f>
        <v>用途</v>
      </c>
      <c r="R9" s="1569" t="s">
        <v>8</v>
      </c>
      <c r="S9" s="1570">
        <f t="shared" si="0"/>
        <v>100</v>
      </c>
      <c r="T9" s="1569" t="s">
        <v>8</v>
      </c>
      <c r="U9" s="1570">
        <f t="shared" si="1"/>
        <v>100</v>
      </c>
      <c r="V9" s="1569" t="s">
        <v>8</v>
      </c>
      <c r="W9" s="1570">
        <f t="shared" si="2"/>
        <v>100</v>
      </c>
      <c r="X9" s="1571"/>
      <c r="Y9" s="3617" t="s">
        <v>535</v>
      </c>
      <c r="Z9" s="1150" t="str">
        <f t="shared" ref="Z9:Z15" si="7">Q9</f>
        <v>用途</v>
      </c>
      <c r="AA9" s="1572">
        <f t="shared" si="3"/>
        <v>1</v>
      </c>
      <c r="AB9" s="1572">
        <f t="shared" si="4"/>
        <v>1</v>
      </c>
      <c r="AC9" s="1572">
        <f t="shared" si="5"/>
        <v>1</v>
      </c>
    </row>
    <row r="10" spans="1:29" s="1338" customFormat="1" ht="27">
      <c r="A10" s="2942"/>
      <c r="B10" s="2947" t="s">
        <v>2759</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3"/>
      <c r="B11" s="2947"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671"/>
      <c r="Q11" s="1151" t="str">
        <f t="shared" si="6"/>
        <v>容积率</v>
      </c>
      <c r="R11" s="1569" t="s">
        <v>8</v>
      </c>
      <c r="S11" s="1570" t="e">
        <f t="shared" si="0"/>
        <v>#N/A</v>
      </c>
      <c r="T11" s="1569" t="s">
        <v>8</v>
      </c>
      <c r="U11" s="1570" t="e">
        <f t="shared" si="1"/>
        <v>#N/A</v>
      </c>
      <c r="V11" s="1569" t="s">
        <v>8</v>
      </c>
      <c r="W11" s="1570" t="e">
        <f t="shared" si="2"/>
        <v>#N/A</v>
      </c>
      <c r="X11" s="1571"/>
      <c r="Y11" s="361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 t="shared" si="3"/>
        <v>1</v>
      </c>
      <c r="AB14" s="1572">
        <f t="shared" si="4"/>
        <v>1</v>
      </c>
      <c r="AC14" s="1572">
        <f t="shared" si="5"/>
        <v>1</v>
      </c>
    </row>
    <row r="15" spans="1:29" ht="71.25">
      <c r="A15" s="2937"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705" t="s">
        <v>539</v>
      </c>
      <c r="Q15" s="1573" t="str">
        <f t="shared" si="6"/>
        <v>办公集聚程度</v>
      </c>
      <c r="R15" s="1574" t="s">
        <v>8</v>
      </c>
      <c r="S15" s="1575">
        <f t="shared" si="0"/>
        <v>100</v>
      </c>
      <c r="T15" s="1574" t="s">
        <v>8</v>
      </c>
      <c r="U15" s="1575">
        <f t="shared" si="1"/>
        <v>100</v>
      </c>
      <c r="V15" s="1574" t="s">
        <v>8</v>
      </c>
      <c r="W15" s="1575">
        <f t="shared" si="2"/>
        <v>100</v>
      </c>
      <c r="X15" s="1568"/>
      <c r="Y15" s="3705"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706"/>
      <c r="Q16" s="1573"/>
      <c r="R16" s="1574"/>
      <c r="S16" s="1575"/>
      <c r="T16" s="1574"/>
      <c r="U16" s="1575"/>
      <c r="V16" s="1574"/>
      <c r="W16" s="1575"/>
      <c r="X16" s="1568"/>
      <c r="Y16" s="3706"/>
      <c r="Z16" s="1576"/>
      <c r="AA16" s="1577">
        <v>1</v>
      </c>
      <c r="AB16" s="1577">
        <v>1</v>
      </c>
      <c r="AC16" s="1577">
        <v>1</v>
      </c>
    </row>
    <row r="17" spans="1:29" ht="85.5">
      <c r="A17" s="532"/>
      <c r="B17" s="560" t="s">
        <v>294</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706"/>
      <c r="Q17" s="1573" t="str">
        <f>B17</f>
        <v>交通便捷度</v>
      </c>
      <c r="R17" s="1574" t="s">
        <v>8</v>
      </c>
      <c r="S17" s="1575">
        <f>F17</f>
        <v>100</v>
      </c>
      <c r="T17" s="1574" t="s">
        <v>8</v>
      </c>
      <c r="U17" s="1575">
        <f>H17</f>
        <v>100</v>
      </c>
      <c r="V17" s="1574" t="s">
        <v>8</v>
      </c>
      <c r="W17" s="1575">
        <f>J17</f>
        <v>100</v>
      </c>
      <c r="X17" s="1568"/>
      <c r="Y17" s="370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706"/>
      <c r="Q18" s="1573"/>
      <c r="R18" s="1574"/>
      <c r="S18" s="1575"/>
      <c r="T18" s="1574"/>
      <c r="U18" s="1575"/>
      <c r="V18" s="1574"/>
      <c r="W18" s="1575"/>
      <c r="X18" s="1568"/>
      <c r="Y18" s="3706"/>
      <c r="Z18" s="1576"/>
      <c r="AA18" s="1577">
        <v>1</v>
      </c>
      <c r="AB18" s="1577">
        <v>1</v>
      </c>
      <c r="AC18" s="1577">
        <v>1</v>
      </c>
    </row>
    <row r="19" spans="1:29" ht="42.75">
      <c r="A19" s="532"/>
      <c r="B19" s="2629"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706"/>
      <c r="Q19" s="1573" t="str">
        <f>B19</f>
        <v>公共配套设施</v>
      </c>
      <c r="R19" s="1574" t="s">
        <v>8</v>
      </c>
      <c r="S19" s="1575">
        <f>F19</f>
        <v>100</v>
      </c>
      <c r="T19" s="1574" t="s">
        <v>8</v>
      </c>
      <c r="U19" s="1575">
        <f>H19</f>
        <v>100</v>
      </c>
      <c r="V19" s="1574" t="s">
        <v>8</v>
      </c>
      <c r="W19" s="1575">
        <f>J19</f>
        <v>100</v>
      </c>
      <c r="X19" s="1568"/>
      <c r="Y19" s="370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706"/>
      <c r="Q20" s="1573"/>
      <c r="R20" s="1574"/>
      <c r="S20" s="1575"/>
      <c r="T20" s="1574"/>
      <c r="U20" s="1575"/>
      <c r="V20" s="1574"/>
      <c r="W20" s="1575"/>
      <c r="X20" s="1568"/>
      <c r="Y20" s="3706"/>
      <c r="Z20" s="1576"/>
      <c r="AA20" s="1577">
        <v>1</v>
      </c>
      <c r="AB20" s="1577">
        <v>1</v>
      </c>
      <c r="AC20" s="1577">
        <v>1</v>
      </c>
    </row>
    <row r="21" spans="1:29" ht="28.5">
      <c r="A21" s="532"/>
      <c r="B21" s="2617"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706"/>
      <c r="Q21" s="2605" t="str">
        <f>B21</f>
        <v>基础设施水平</v>
      </c>
      <c r="R21" s="1574" t="s">
        <v>8</v>
      </c>
      <c r="S21" s="1575">
        <f>F21</f>
        <v>100</v>
      </c>
      <c r="T21" s="1574" t="s">
        <v>8</v>
      </c>
      <c r="U21" s="1575">
        <f>H21</f>
        <v>100</v>
      </c>
      <c r="V21" s="1574" t="s">
        <v>8</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706"/>
      <c r="Q22" s="2605"/>
      <c r="R22" s="1574"/>
      <c r="S22" s="1575"/>
      <c r="T22" s="1574"/>
      <c r="U22" s="1575"/>
      <c r="V22" s="1574"/>
      <c r="W22" s="1575"/>
      <c r="X22" s="2607"/>
      <c r="Y22" s="3706"/>
      <c r="Z22" s="2606"/>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706"/>
      <c r="Q23" s="1573" t="str">
        <f>B23</f>
        <v>环境质量</v>
      </c>
      <c r="R23" s="1574" t="s">
        <v>8</v>
      </c>
      <c r="S23" s="1575">
        <f>F23</f>
        <v>100</v>
      </c>
      <c r="T23" s="1574" t="s">
        <v>8</v>
      </c>
      <c r="U23" s="1575">
        <f>H23</f>
        <v>100</v>
      </c>
      <c r="V23" s="1574" t="s">
        <v>8</v>
      </c>
      <c r="W23" s="1575">
        <f>J23</f>
        <v>100</v>
      </c>
      <c r="X23" s="1568"/>
      <c r="Y23" s="370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706"/>
      <c r="Q24" s="1573"/>
      <c r="R24" s="1574"/>
      <c r="S24" s="1575"/>
      <c r="T24" s="1574"/>
      <c r="U24" s="1575"/>
      <c r="V24" s="1574"/>
      <c r="W24" s="1575"/>
      <c r="X24" s="1568"/>
      <c r="Y24" s="3706"/>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706"/>
      <c r="Q25" s="1573" t="str">
        <f>B25</f>
        <v>毗邻道路的类型与等级</v>
      </c>
      <c r="R25" s="1574" t="s">
        <v>8</v>
      </c>
      <c r="S25" s="1575">
        <f>F25</f>
        <v>100</v>
      </c>
      <c r="T25" s="1574" t="s">
        <v>8</v>
      </c>
      <c r="U25" s="1575">
        <f>H25</f>
        <v>100</v>
      </c>
      <c r="V25" s="1574" t="s">
        <v>8</v>
      </c>
      <c r="W25" s="1575">
        <f>J25</f>
        <v>100</v>
      </c>
      <c r="X25" s="1568"/>
      <c r="Y25" s="370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706"/>
      <c r="Q26" s="1573"/>
      <c r="R26" s="1574"/>
      <c r="S26" s="1575"/>
      <c r="T26" s="1574"/>
      <c r="U26" s="1575"/>
      <c r="V26" s="1574"/>
      <c r="W26" s="1575"/>
      <c r="X26" s="1568"/>
      <c r="Y26" s="3706"/>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706"/>
      <c r="Q27" s="1573" t="str">
        <f t="shared" ref="Q27:Q47" si="11">B27</f>
        <v>楼层</v>
      </c>
      <c r="R27" s="1574" t="s">
        <v>8</v>
      </c>
      <c r="S27" s="1575">
        <f>F27</f>
        <v>100</v>
      </c>
      <c r="T27" s="1574" t="s">
        <v>8</v>
      </c>
      <c r="U27" s="1575">
        <f>H27</f>
        <v>100</v>
      </c>
      <c r="V27" s="1574" t="s">
        <v>8</v>
      </c>
      <c r="W27" s="1575">
        <f>J27</f>
        <v>100</v>
      </c>
      <c r="X27" s="1568"/>
      <c r="Y27" s="3706"/>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706"/>
      <c r="Q28" s="1151" t="str">
        <f t="shared" si="11"/>
        <v>朝向</v>
      </c>
      <c r="R28" s="1569" t="s">
        <v>8</v>
      </c>
      <c r="S28" s="1570">
        <f>F28</f>
        <v>100</v>
      </c>
      <c r="T28" s="1569" t="s">
        <v>8</v>
      </c>
      <c r="U28" s="1570">
        <f>H28</f>
        <v>100</v>
      </c>
      <c r="V28" s="1569" t="s">
        <v>8</v>
      </c>
      <c r="W28" s="1570">
        <f>J28</f>
        <v>100</v>
      </c>
      <c r="X28" s="1571"/>
      <c r="Y28" s="370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706"/>
      <c r="Q29" s="1573">
        <f t="shared" si="11"/>
        <v>111</v>
      </c>
      <c r="R29" s="1574" t="s">
        <v>8</v>
      </c>
      <c r="S29" s="1575">
        <f t="shared" ref="S29:S47" si="12">F29</f>
        <v>100</v>
      </c>
      <c r="T29" s="1574" t="s">
        <v>8</v>
      </c>
      <c r="U29" s="1575">
        <f t="shared" ref="U29:U47" si="13">H29</f>
        <v>100</v>
      </c>
      <c r="V29" s="1574" t="s">
        <v>8</v>
      </c>
      <c r="W29" s="1575">
        <f t="shared" ref="W29:W47" si="14">J29</f>
        <v>100</v>
      </c>
      <c r="X29" s="1568"/>
      <c r="Y29" s="370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706"/>
      <c r="Q30" s="1573">
        <f t="shared" si="11"/>
        <v>111</v>
      </c>
      <c r="R30" s="1574" t="s">
        <v>8</v>
      </c>
      <c r="S30" s="1575">
        <f t="shared" si="12"/>
        <v>100</v>
      </c>
      <c r="T30" s="1574" t="s">
        <v>8</v>
      </c>
      <c r="U30" s="1575">
        <f t="shared" si="13"/>
        <v>100</v>
      </c>
      <c r="V30" s="1574" t="s">
        <v>8</v>
      </c>
      <c r="W30" s="1575">
        <f t="shared" si="14"/>
        <v>100</v>
      </c>
      <c r="X30" s="1568"/>
      <c r="Y30" s="370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706"/>
      <c r="Q31" s="1573">
        <f t="shared" si="11"/>
        <v>111</v>
      </c>
      <c r="R31" s="1574" t="s">
        <v>8</v>
      </c>
      <c r="S31" s="1575">
        <f t="shared" si="12"/>
        <v>100</v>
      </c>
      <c r="T31" s="1574" t="s">
        <v>8</v>
      </c>
      <c r="U31" s="1575">
        <f t="shared" si="13"/>
        <v>100</v>
      </c>
      <c r="V31" s="1574" t="s">
        <v>8</v>
      </c>
      <c r="W31" s="1575">
        <f t="shared" si="14"/>
        <v>100</v>
      </c>
      <c r="X31" s="1568"/>
      <c r="Y31" s="370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706"/>
      <c r="Q32" s="1573">
        <f t="shared" si="11"/>
        <v>111</v>
      </c>
      <c r="R32" s="1574" t="s">
        <v>8</v>
      </c>
      <c r="S32" s="1575">
        <f t="shared" si="12"/>
        <v>100</v>
      </c>
      <c r="T32" s="1574" t="s">
        <v>8</v>
      </c>
      <c r="U32" s="1575">
        <f t="shared" si="13"/>
        <v>100</v>
      </c>
      <c r="V32" s="1574" t="s">
        <v>8</v>
      </c>
      <c r="W32" s="1575">
        <f t="shared" si="14"/>
        <v>100</v>
      </c>
      <c r="X32" s="1568"/>
      <c r="Y32" s="3706"/>
      <c r="Z32" s="1576">
        <f t="shared" si="15"/>
        <v>111</v>
      </c>
      <c r="AA32" s="1577">
        <f t="shared" si="3"/>
        <v>1</v>
      </c>
      <c r="AB32" s="1577">
        <f t="shared" si="4"/>
        <v>1</v>
      </c>
      <c r="AC32" s="1577">
        <f t="shared" si="5"/>
        <v>1</v>
      </c>
    </row>
    <row r="33" spans="1:29" ht="15">
      <c r="A33" s="2934"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707" t="s">
        <v>549</v>
      </c>
      <c r="Q33" s="1573" t="str">
        <f t="shared" si="11"/>
        <v>建筑类型</v>
      </c>
      <c r="R33" s="1574" t="s">
        <v>8</v>
      </c>
      <c r="S33" s="1575">
        <f t="shared" si="12"/>
        <v>100</v>
      </c>
      <c r="T33" s="1574" t="s">
        <v>8</v>
      </c>
      <c r="U33" s="1575">
        <f t="shared" si="13"/>
        <v>100</v>
      </c>
      <c r="V33" s="1574" t="s">
        <v>8</v>
      </c>
      <c r="W33" s="1575">
        <f t="shared" si="14"/>
        <v>100</v>
      </c>
      <c r="X33" s="1568"/>
      <c r="Y33" s="3708"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708"/>
      <c r="Q34" s="1606" t="str">
        <f t="shared" si="11"/>
        <v>项目建筑规模</v>
      </c>
      <c r="R34" s="1578" t="s">
        <v>8</v>
      </c>
      <c r="S34" s="1579" t="e">
        <f t="shared" si="12"/>
        <v>#N/A</v>
      </c>
      <c r="T34" s="1578" t="s">
        <v>8</v>
      </c>
      <c r="U34" s="1579" t="e">
        <f t="shared" si="13"/>
        <v>#N/A</v>
      </c>
      <c r="V34" s="1578" t="s">
        <v>8</v>
      </c>
      <c r="W34" s="1579" t="e">
        <f t="shared" si="14"/>
        <v>#N/A</v>
      </c>
      <c r="X34" s="1580"/>
      <c r="Y34" s="3708"/>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708"/>
      <c r="Q35" s="1573" t="str">
        <f t="shared" si="11"/>
        <v>建筑结构</v>
      </c>
      <c r="R35" s="1574" t="s">
        <v>8</v>
      </c>
      <c r="S35" s="1575">
        <f t="shared" si="12"/>
        <v>100</v>
      </c>
      <c r="T35" s="1574" t="s">
        <v>8</v>
      </c>
      <c r="U35" s="1575">
        <f t="shared" si="13"/>
        <v>100</v>
      </c>
      <c r="V35" s="1574" t="s">
        <v>8</v>
      </c>
      <c r="W35" s="1575">
        <f t="shared" si="14"/>
        <v>100</v>
      </c>
      <c r="X35" s="1568"/>
      <c r="Y35" s="3708"/>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708"/>
      <c r="Q36" s="1573" t="str">
        <f t="shared" si="11"/>
        <v>公共部分装修</v>
      </c>
      <c r="R36" s="1574" t="s">
        <v>8</v>
      </c>
      <c r="S36" s="1575">
        <f t="shared" si="12"/>
        <v>100</v>
      </c>
      <c r="T36" s="1574" t="s">
        <v>8</v>
      </c>
      <c r="U36" s="1575">
        <f t="shared" si="13"/>
        <v>100</v>
      </c>
      <c r="V36" s="1574" t="s">
        <v>8</v>
      </c>
      <c r="W36" s="1575">
        <f t="shared" si="14"/>
        <v>100</v>
      </c>
      <c r="X36" s="1568"/>
      <c r="Y36" s="3708"/>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708"/>
      <c r="Q37" s="1573" t="str">
        <f t="shared" si="11"/>
        <v>成新度</v>
      </c>
      <c r="R37" s="1574" t="s">
        <v>8</v>
      </c>
      <c r="S37" s="1575" t="e">
        <f t="shared" si="12"/>
        <v>#N/A</v>
      </c>
      <c r="T37" s="1574" t="s">
        <v>8</v>
      </c>
      <c r="U37" s="1575" t="e">
        <f t="shared" si="13"/>
        <v>#N/A</v>
      </c>
      <c r="V37" s="1574" t="s">
        <v>8</v>
      </c>
      <c r="W37" s="1575" t="e">
        <f t="shared" si="14"/>
        <v>#N/A</v>
      </c>
      <c r="X37" s="1568"/>
      <c r="Y37" s="3708"/>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708"/>
      <c r="Q38" s="1151" t="str">
        <f t="shared" si="11"/>
        <v>写字楼等级</v>
      </c>
      <c r="R38" s="1569" t="s">
        <v>8</v>
      </c>
      <c r="S38" s="1570">
        <f t="shared" si="12"/>
        <v>100</v>
      </c>
      <c r="T38" s="1569" t="s">
        <v>8</v>
      </c>
      <c r="U38" s="1570">
        <f t="shared" si="13"/>
        <v>100</v>
      </c>
      <c r="V38" s="1569" t="s">
        <v>8</v>
      </c>
      <c r="W38" s="1570">
        <f t="shared" si="14"/>
        <v>100</v>
      </c>
      <c r="X38" s="1571"/>
      <c r="Y38" s="3708"/>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708" t="s">
        <v>549</v>
      </c>
      <c r="Q39" s="1573" t="str">
        <f t="shared" si="11"/>
        <v>物业管理</v>
      </c>
      <c r="R39" s="1574" t="s">
        <v>8</v>
      </c>
      <c r="S39" s="1575">
        <f t="shared" si="12"/>
        <v>100</v>
      </c>
      <c r="T39" s="1574" t="s">
        <v>8</v>
      </c>
      <c r="U39" s="1575">
        <f t="shared" si="13"/>
        <v>100</v>
      </c>
      <c r="V39" s="1574" t="s">
        <v>8</v>
      </c>
      <c r="W39" s="1575">
        <f t="shared" si="14"/>
        <v>100</v>
      </c>
      <c r="X39" s="1568"/>
      <c r="Y39" s="3708" t="s">
        <v>549</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708"/>
      <c r="Q40" s="1573" t="str">
        <f t="shared" si="11"/>
        <v>市政基础设施</v>
      </c>
      <c r="R40" s="1574" t="s">
        <v>8</v>
      </c>
      <c r="S40" s="1575">
        <f t="shared" si="12"/>
        <v>100</v>
      </c>
      <c r="T40" s="1574" t="s">
        <v>8</v>
      </c>
      <c r="U40" s="1575">
        <f t="shared" si="13"/>
        <v>100</v>
      </c>
      <c r="V40" s="1574" t="s">
        <v>8</v>
      </c>
      <c r="W40" s="1575">
        <f t="shared" si="14"/>
        <v>100</v>
      </c>
      <c r="X40" s="1568"/>
      <c r="Y40" s="3708"/>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708"/>
      <c r="Q41" s="1573" t="str">
        <f t="shared" si="11"/>
        <v>层高</v>
      </c>
      <c r="R41" s="1574" t="s">
        <v>8</v>
      </c>
      <c r="S41" s="1575">
        <f t="shared" si="12"/>
        <v>100</v>
      </c>
      <c r="T41" s="1574" t="s">
        <v>8</v>
      </c>
      <c r="U41" s="1575">
        <f t="shared" si="13"/>
        <v>100</v>
      </c>
      <c r="V41" s="1574" t="s">
        <v>8</v>
      </c>
      <c r="W41" s="1575">
        <f t="shared" si="14"/>
        <v>100</v>
      </c>
      <c r="X41" s="1568"/>
      <c r="Y41" s="3708"/>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708"/>
      <c r="Q42" s="1606" t="str">
        <f t="shared" si="11"/>
        <v>单套建筑面积</v>
      </c>
      <c r="R42" s="1578" t="s">
        <v>8</v>
      </c>
      <c r="S42" s="1579">
        <f t="shared" si="12"/>
        <v>100</v>
      </c>
      <c r="T42" s="1578" t="s">
        <v>8</v>
      </c>
      <c r="U42" s="1579">
        <f t="shared" si="13"/>
        <v>100</v>
      </c>
      <c r="V42" s="1578" t="s">
        <v>8</v>
      </c>
      <c r="W42" s="1579">
        <f t="shared" si="14"/>
        <v>100</v>
      </c>
      <c r="X42" s="1580"/>
      <c r="Y42" s="3708"/>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708"/>
      <c r="Q43" s="1573" t="str">
        <f t="shared" si="11"/>
        <v>内部装修</v>
      </c>
      <c r="R43" s="1574" t="s">
        <v>8</v>
      </c>
      <c r="S43" s="1575">
        <f t="shared" si="12"/>
        <v>100</v>
      </c>
      <c r="T43" s="1574" t="s">
        <v>8</v>
      </c>
      <c r="U43" s="1575">
        <f t="shared" si="13"/>
        <v>100</v>
      </c>
      <c r="V43" s="1574" t="s">
        <v>8</v>
      </c>
      <c r="W43" s="1575">
        <f t="shared" si="14"/>
        <v>100</v>
      </c>
      <c r="X43" s="1568"/>
      <c r="Y43" s="3708"/>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708"/>
      <c r="Q44" s="1573" t="str">
        <f t="shared" si="11"/>
        <v>内部装修维护情况</v>
      </c>
      <c r="R44" s="1574" t="s">
        <v>8</v>
      </c>
      <c r="S44" s="1575">
        <f t="shared" si="12"/>
        <v>100</v>
      </c>
      <c r="T44" s="1574" t="s">
        <v>8</v>
      </c>
      <c r="U44" s="1575">
        <f t="shared" si="13"/>
        <v>100</v>
      </c>
      <c r="V44" s="1574" t="s">
        <v>8</v>
      </c>
      <c r="W44" s="1575">
        <f t="shared" si="14"/>
        <v>100</v>
      </c>
      <c r="X44" s="1568"/>
      <c r="Y44" s="370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708"/>
      <c r="Q45" s="1151">
        <f t="shared" si="11"/>
        <v>111</v>
      </c>
      <c r="R45" s="1569" t="s">
        <v>8</v>
      </c>
      <c r="S45" s="1570">
        <f t="shared" si="12"/>
        <v>100</v>
      </c>
      <c r="T45" s="1569" t="s">
        <v>8</v>
      </c>
      <c r="U45" s="1570">
        <f t="shared" si="13"/>
        <v>100</v>
      </c>
      <c r="V45" s="1569" t="s">
        <v>8</v>
      </c>
      <c r="W45" s="1570">
        <f t="shared" si="14"/>
        <v>100</v>
      </c>
      <c r="X45" s="1571"/>
      <c r="Y45" s="370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708"/>
      <c r="Q46" s="1573">
        <f t="shared" si="11"/>
        <v>111</v>
      </c>
      <c r="R46" s="1574" t="s">
        <v>8</v>
      </c>
      <c r="S46" s="1575">
        <f t="shared" si="12"/>
        <v>100</v>
      </c>
      <c r="T46" s="1574" t="s">
        <v>8</v>
      </c>
      <c r="U46" s="1575">
        <f t="shared" si="13"/>
        <v>100</v>
      </c>
      <c r="V46" s="1574" t="s">
        <v>8</v>
      </c>
      <c r="W46" s="1575">
        <f t="shared" si="14"/>
        <v>100</v>
      </c>
      <c r="X46" s="1568"/>
      <c r="Y46" s="370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85"/>
      <c r="Q47" s="1573">
        <f t="shared" si="11"/>
        <v>111</v>
      </c>
      <c r="R47" s="1574" t="s">
        <v>8</v>
      </c>
      <c r="S47" s="1575">
        <f t="shared" si="12"/>
        <v>100</v>
      </c>
      <c r="T47" s="1574" t="s">
        <v>8</v>
      </c>
      <c r="U47" s="1575">
        <f t="shared" si="13"/>
        <v>100</v>
      </c>
      <c r="V47" s="1574" t="s">
        <v>8</v>
      </c>
      <c r="W47" s="1575">
        <f t="shared" si="14"/>
        <v>100</v>
      </c>
      <c r="X47" s="1568"/>
      <c r="Y47" s="3785"/>
      <c r="Z47" s="1576">
        <f t="shared" si="15"/>
        <v>111</v>
      </c>
      <c r="AA47" s="1577">
        <f t="shared" si="3"/>
        <v>1</v>
      </c>
      <c r="AB47" s="1577">
        <f t="shared" si="4"/>
        <v>1</v>
      </c>
      <c r="AC47" s="1577">
        <f t="shared" si="5"/>
        <v>1</v>
      </c>
    </row>
    <row r="48" spans="1:29" ht="15">
      <c r="A48" s="607" t="s">
        <v>735</v>
      </c>
      <c r="B48" s="887"/>
      <c r="C48" s="2653" t="s">
        <v>1</v>
      </c>
      <c r="D48" s="2654"/>
      <c r="E48" s="2655"/>
      <c r="F48" s="2656"/>
      <c r="G48" s="2657"/>
      <c r="H48" s="2658"/>
      <c r="I48" s="2655"/>
      <c r="J48" s="2658"/>
      <c r="K48" s="1612"/>
      <c r="L48" s="2146"/>
      <c r="M48" s="2136"/>
      <c r="N48" s="2136"/>
      <c r="O48" s="2136"/>
      <c r="P48" s="3669" t="str">
        <f>A48</f>
        <v>成交单价（元/平方米）</v>
      </c>
      <c r="Q48" s="3671"/>
      <c r="R48" s="3783">
        <f>E48</f>
        <v>0</v>
      </c>
      <c r="S48" s="3783"/>
      <c r="T48" s="3783">
        <f>G48</f>
        <v>0</v>
      </c>
      <c r="U48" s="3783"/>
      <c r="V48" s="3783">
        <f>I48</f>
        <v>0</v>
      </c>
      <c r="W48" s="3783"/>
      <c r="X48" s="1560"/>
      <c r="Y48" s="1582"/>
      <c r="Z48" s="1560"/>
      <c r="AA48" s="1560"/>
      <c r="AB48" s="1560"/>
      <c r="AC48" s="1560"/>
    </row>
    <row r="49" spans="1:29" ht="15.75" thickBot="1">
      <c r="A49" s="615" t="s">
        <v>2762</v>
      </c>
      <c r="B49" s="888"/>
      <c r="C49" s="2659" t="e">
        <f>R50</f>
        <v>#DIV/0!</v>
      </c>
      <c r="D49" s="2660"/>
      <c r="E49" s="2661" t="e">
        <f>R49</f>
        <v>#DIV/0!</v>
      </c>
      <c r="F49" s="2661"/>
      <c r="G49" s="2659" t="e">
        <f>T49</f>
        <v>#DIV/0!</v>
      </c>
      <c r="H49" s="2660"/>
      <c r="I49" s="2661" t="e">
        <f>V49</f>
        <v>#DIV/0!</v>
      </c>
      <c r="J49" s="2660"/>
      <c r="K49" s="1613"/>
      <c r="L49" s="2146"/>
      <c r="M49" s="2136"/>
      <c r="N49" s="2136"/>
      <c r="O49" s="2136"/>
      <c r="P49" s="3669" t="str">
        <f>A49</f>
        <v>比较价格（元/平方米）</v>
      </c>
      <c r="Q49" s="3671"/>
      <c r="R49" s="3783" t="e">
        <f>IF(F1="售价",ROUND(PRODUCT(R48,AA7:AA47),0),ROUND(PRODUCT(R48,AA7:AA47),1))</f>
        <v>#DIV/0!</v>
      </c>
      <c r="S49" s="3783"/>
      <c r="T49" s="3783" t="e">
        <f>IF(F1="售价",ROUND(PRODUCT(T48,AB7:AB47),0),ROUND(PRODUCT(T48,AB7:AB47),1))</f>
        <v>#DIV/0!</v>
      </c>
      <c r="U49" s="3783"/>
      <c r="V49" s="3783" t="e">
        <f>IF(F1="售价",ROUND(PRODUCT(V48,AC7:AC47),0),ROUND(PRODUCT(V48,AC7:AC47),1))</f>
        <v>#DIV/0!</v>
      </c>
      <c r="W49" s="3783"/>
      <c r="X49" s="1560"/>
      <c r="Y49" s="1560"/>
      <c r="Z49" s="1560"/>
      <c r="AA49" s="1560"/>
      <c r="AB49" s="1560"/>
      <c r="AC49" s="1560"/>
    </row>
    <row r="50" spans="1:29" ht="15.75" thickBot="1">
      <c r="A50" s="621" t="s">
        <v>2936</v>
      </c>
      <c r="B50" s="622"/>
      <c r="C50" s="2662" t="e">
        <f>R50</f>
        <v>#DIV/0!</v>
      </c>
      <c r="D50" s="2662"/>
      <c r="E50" s="2662"/>
      <c r="F50" s="2662"/>
      <c r="G50" s="2662"/>
      <c r="H50" s="2662"/>
      <c r="I50" s="2662"/>
      <c r="J50" s="2662"/>
      <c r="K50" s="1614"/>
      <c r="L50" s="2146"/>
      <c r="M50" s="2136"/>
      <c r="N50" s="2136"/>
      <c r="O50" s="2136"/>
      <c r="P50" s="3790" t="str">
        <f>A50</f>
        <v>估价对象XX用房的比较价格（楼面单价，元/平方米）</v>
      </c>
      <c r="Q50" s="3669"/>
      <c r="R50" s="3784" t="e">
        <f>IF(F1="售价",ROUND(AVERAGE(R49:V49),0),ROUND(AVERAGE(R49:V49),1))</f>
        <v>#DIV/0!</v>
      </c>
      <c r="S50" s="3784"/>
      <c r="T50" s="3784"/>
      <c r="U50" s="3784"/>
      <c r="V50" s="3784"/>
      <c r="W50" s="3784"/>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29" t="str">
        <f>YEAR(C7)&amp;"-"&amp;MONTH(C7)</f>
        <v>2018-3</v>
      </c>
      <c r="D59" s="2831">
        <f>EDATE(C59,-1)</f>
        <v>43132</v>
      </c>
      <c r="E59" s="2831">
        <f t="shared" ref="E59:O59" si="16">EDATE(D59,-1)</f>
        <v>43101</v>
      </c>
      <c r="F59" s="2831">
        <f t="shared" si="16"/>
        <v>43070</v>
      </c>
      <c r="G59" s="2831">
        <f t="shared" si="16"/>
        <v>43040</v>
      </c>
      <c r="H59" s="2831">
        <f t="shared" si="16"/>
        <v>43009</v>
      </c>
      <c r="I59" s="2831">
        <f t="shared" si="16"/>
        <v>42979</v>
      </c>
      <c r="J59" s="2831">
        <f t="shared" si="16"/>
        <v>42948</v>
      </c>
      <c r="K59" s="2831">
        <f t="shared" si="16"/>
        <v>42917</v>
      </c>
      <c r="L59" s="2831">
        <f t="shared" si="16"/>
        <v>42887</v>
      </c>
      <c r="M59" s="2831">
        <f t="shared" si="16"/>
        <v>42856</v>
      </c>
      <c r="N59" s="2831">
        <f t="shared" si="16"/>
        <v>42826</v>
      </c>
      <c r="O59" s="2831">
        <f t="shared" si="16"/>
        <v>42795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2560</v>
      </c>
      <c r="C83" s="2624" t="s">
        <v>2561</v>
      </c>
      <c r="D83" s="2624" t="s">
        <v>2562</v>
      </c>
      <c r="E83" s="2624" t="s">
        <v>2563</v>
      </c>
      <c r="F83" s="2624" t="s">
        <v>2564</v>
      </c>
      <c r="G83" s="2624" t="s">
        <v>2565</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4"/>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465</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677" t="s">
        <v>521</v>
      </c>
      <c r="D4" s="3678"/>
      <c r="E4" s="3711" t="s">
        <v>522</v>
      </c>
      <c r="F4" s="3712"/>
      <c r="G4" s="3677" t="s">
        <v>523</v>
      </c>
      <c r="H4" s="3678"/>
      <c r="I4" s="3677" t="s">
        <v>524</v>
      </c>
      <c r="J4" s="3678"/>
      <c r="K4" s="514" t="s">
        <v>525</v>
      </c>
      <c r="L4" s="2135"/>
      <c r="M4" s="2136"/>
      <c r="N4" s="2136"/>
      <c r="O4" s="2136"/>
      <c r="P4" s="3679" t="s">
        <v>526</v>
      </c>
      <c r="Q4" s="3680"/>
      <c r="R4" s="3685" t="s">
        <v>522</v>
      </c>
      <c r="S4" s="3686"/>
      <c r="T4" s="3685" t="s">
        <v>523</v>
      </c>
      <c r="U4" s="3686"/>
      <c r="V4" s="3672" t="s">
        <v>524</v>
      </c>
      <c r="W4" s="3672"/>
      <c r="X4" s="1568"/>
      <c r="Y4" s="3685" t="s">
        <v>526</v>
      </c>
      <c r="Z4" s="3686"/>
      <c r="AA4" s="3674" t="s">
        <v>522</v>
      </c>
      <c r="AB4" s="3675" t="s">
        <v>523</v>
      </c>
      <c r="AC4" s="3674" t="s">
        <v>524</v>
      </c>
    </row>
    <row r="5" spans="1:29" ht="15">
      <c r="A5" s="515"/>
      <c r="B5" s="516"/>
      <c r="C5" s="3693" t="s">
        <v>2930</v>
      </c>
      <c r="D5" s="3694"/>
      <c r="E5" s="3713" t="s">
        <v>2931</v>
      </c>
      <c r="F5" s="3714"/>
      <c r="G5" s="3693" t="s">
        <v>2932</v>
      </c>
      <c r="H5" s="3694"/>
      <c r="I5" s="3693" t="s">
        <v>2933</v>
      </c>
      <c r="J5" s="3694"/>
      <c r="K5" s="514"/>
      <c r="L5" s="2135"/>
      <c r="M5" s="2136"/>
      <c r="N5" s="2136"/>
      <c r="O5" s="2136"/>
      <c r="P5" s="3681"/>
      <c r="Q5" s="3682"/>
      <c r="R5" s="3687"/>
      <c r="S5" s="3688"/>
      <c r="T5" s="3687"/>
      <c r="U5" s="3688"/>
      <c r="V5" s="3672"/>
      <c r="W5" s="3672"/>
      <c r="X5" s="1568"/>
      <c r="Y5" s="3687"/>
      <c r="Z5" s="3688"/>
      <c r="AA5" s="3675"/>
      <c r="AB5" s="3675"/>
      <c r="AC5" s="3675"/>
    </row>
    <row r="6" spans="1:29" ht="15.75" thickBot="1">
      <c r="A6" s="517"/>
      <c r="B6" s="518"/>
      <c r="C6" s="3691" t="s">
        <v>2934</v>
      </c>
      <c r="D6" s="3692"/>
      <c r="E6" s="3709" t="s">
        <v>2934</v>
      </c>
      <c r="F6" s="3710"/>
      <c r="G6" s="3691" t="s">
        <v>2934</v>
      </c>
      <c r="H6" s="3692"/>
      <c r="I6" s="3691" t="s">
        <v>2934</v>
      </c>
      <c r="J6" s="3692"/>
      <c r="K6" s="514" t="s">
        <v>527</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528</v>
      </c>
      <c r="C7" s="519">
        <f>'数据-取费表'!B2</f>
        <v>43166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702" t="s">
        <v>529</v>
      </c>
      <c r="Q7" s="3704"/>
      <c r="R7" s="1569" t="s">
        <v>8</v>
      </c>
      <c r="S7" s="1570">
        <f t="shared" ref="S7:S15" si="0">F7</f>
        <v>0</v>
      </c>
      <c r="T7" s="1569" t="s">
        <v>8</v>
      </c>
      <c r="U7" s="1570">
        <f t="shared" ref="U7:U15" si="1">H7</f>
        <v>0</v>
      </c>
      <c r="V7" s="1569" t="s">
        <v>8</v>
      </c>
      <c r="W7" s="1570">
        <f t="shared" ref="W7:W15" si="2">J7</f>
        <v>0</v>
      </c>
      <c r="X7" s="1571"/>
      <c r="Y7" s="3702" t="s">
        <v>529</v>
      </c>
      <c r="Z7" s="3703"/>
      <c r="AA7" s="1572" t="e">
        <f>D7/F7</f>
        <v>#DIV/0!</v>
      </c>
      <c r="AB7" s="1572" t="e">
        <f>D7/H7</f>
        <v>#DIV/0!</v>
      </c>
      <c r="AC7" s="1572" t="e">
        <f>D7/J7</f>
        <v>#DIV/0!</v>
      </c>
    </row>
    <row r="8" spans="1:29" s="1220" customFormat="1" ht="15.75" thickBot="1">
      <c r="A8" s="2940"/>
      <c r="B8" s="2947"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702" t="s">
        <v>532</v>
      </c>
      <c r="Q8" s="3703"/>
      <c r="R8" s="1569" t="s">
        <v>8</v>
      </c>
      <c r="S8" s="1570">
        <f t="shared" si="0"/>
        <v>0</v>
      </c>
      <c r="T8" s="1569" t="s">
        <v>8</v>
      </c>
      <c r="U8" s="1570">
        <f t="shared" si="1"/>
        <v>0</v>
      </c>
      <c r="V8" s="1569" t="s">
        <v>8</v>
      </c>
      <c r="W8" s="1570">
        <f t="shared" si="2"/>
        <v>0</v>
      </c>
      <c r="X8" s="1571"/>
      <c r="Y8" s="3702" t="s">
        <v>532</v>
      </c>
      <c r="Z8" s="3703"/>
      <c r="AA8" s="1572" t="e">
        <f t="shared" ref="AA8:AA40" si="3">D8/F8</f>
        <v>#DIV/0!</v>
      </c>
      <c r="AB8" s="1572" t="e">
        <f t="shared" ref="AB8:AB40" si="4">D8/H8</f>
        <v>#DIV/0!</v>
      </c>
      <c r="AC8" s="1572" t="e">
        <f t="shared" ref="AC8:AC40" si="5">D8/J8</f>
        <v>#DIV/0!</v>
      </c>
    </row>
    <row r="9" spans="1:29" s="1220" customFormat="1" ht="15">
      <c r="A9" s="2941"/>
      <c r="B9" s="2948" t="s">
        <v>2758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71" t="s">
        <v>534</v>
      </c>
      <c r="Q9" s="1151" t="str">
        <f t="shared" ref="Q9:Q15" si="6">B9</f>
        <v>用途</v>
      </c>
      <c r="R9" s="1569" t="s">
        <v>8</v>
      </c>
      <c r="S9" s="1570">
        <f t="shared" si="0"/>
        <v>100</v>
      </c>
      <c r="T9" s="1569" t="s">
        <v>8</v>
      </c>
      <c r="U9" s="1570">
        <f t="shared" si="1"/>
        <v>100</v>
      </c>
      <c r="V9" s="1569" t="s">
        <v>8</v>
      </c>
      <c r="W9" s="1570">
        <f t="shared" si="2"/>
        <v>100</v>
      </c>
      <c r="X9" s="1571"/>
      <c r="Y9" s="3617" t="s">
        <v>535</v>
      </c>
      <c r="Z9" s="1150" t="str">
        <f t="shared" ref="Z9:Z15" si="7">Q9</f>
        <v>用途</v>
      </c>
      <c r="AA9" s="1572">
        <f t="shared" si="3"/>
        <v>1</v>
      </c>
      <c r="AB9" s="1572">
        <f t="shared" si="4"/>
        <v>1</v>
      </c>
      <c r="AC9" s="1572">
        <f t="shared" si="5"/>
        <v>1</v>
      </c>
    </row>
    <row r="10" spans="1:29" s="1338" customFormat="1" ht="27">
      <c r="A10" s="2942"/>
      <c r="B10" s="2947" t="s">
        <v>2759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3"/>
      <c r="B11" s="2947"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71"/>
      <c r="Q11" s="1151" t="str">
        <f t="shared" si="6"/>
        <v>容积率</v>
      </c>
      <c r="R11" s="1569" t="s">
        <v>8</v>
      </c>
      <c r="S11" s="1570" t="e">
        <f t="shared" si="0"/>
        <v>#N/A</v>
      </c>
      <c r="T11" s="1569" t="s">
        <v>8</v>
      </c>
      <c r="U11" s="1570" t="e">
        <f t="shared" si="1"/>
        <v>#N/A</v>
      </c>
      <c r="V11" s="1569" t="s">
        <v>8</v>
      </c>
      <c r="W11" s="1570" t="e">
        <f t="shared" si="2"/>
        <v>#N/A</v>
      </c>
      <c r="X11" s="1571"/>
      <c r="Y11" s="361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 t="shared" si="3"/>
        <v>1</v>
      </c>
      <c r="AB14" s="1572">
        <f t="shared" si="4"/>
        <v>1</v>
      </c>
      <c r="AC14" s="1572">
        <f t="shared" si="5"/>
        <v>1</v>
      </c>
    </row>
    <row r="15" spans="1:29" ht="57">
      <c r="A15" s="2937"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705" t="s">
        <v>539</v>
      </c>
      <c r="Q15" s="1573" t="str">
        <f t="shared" si="6"/>
        <v>产业集聚程度</v>
      </c>
      <c r="R15" s="1574" t="s">
        <v>8</v>
      </c>
      <c r="S15" s="1575">
        <f t="shared" si="0"/>
        <v>100</v>
      </c>
      <c r="T15" s="1574" t="s">
        <v>8</v>
      </c>
      <c r="U15" s="1575">
        <f t="shared" si="1"/>
        <v>100</v>
      </c>
      <c r="V15" s="1574" t="s">
        <v>8</v>
      </c>
      <c r="W15" s="1575">
        <f t="shared" si="2"/>
        <v>100</v>
      </c>
      <c r="X15" s="1568"/>
      <c r="Y15" s="3705"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06"/>
      <c r="Q16" s="1573"/>
      <c r="R16" s="1574"/>
      <c r="S16" s="1575"/>
      <c r="T16" s="1574"/>
      <c r="U16" s="1575"/>
      <c r="V16" s="1574"/>
      <c r="W16" s="1575"/>
      <c r="X16" s="1568"/>
      <c r="Y16" s="3706"/>
      <c r="Z16" s="1576"/>
      <c r="AA16" s="1577">
        <v>1</v>
      </c>
      <c r="AB16" s="1577">
        <v>1</v>
      </c>
      <c r="AC16" s="1577">
        <v>1</v>
      </c>
    </row>
    <row r="17" spans="1:29" ht="85.5">
      <c r="A17" s="532"/>
      <c r="B17" s="871" t="s">
        <v>294</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706"/>
      <c r="Q17" s="1573" t="str">
        <f>B17</f>
        <v>交通便捷度</v>
      </c>
      <c r="R17" s="1574" t="s">
        <v>8</v>
      </c>
      <c r="S17" s="1575">
        <f>F17</f>
        <v>100</v>
      </c>
      <c r="T17" s="1574" t="s">
        <v>8</v>
      </c>
      <c r="U17" s="1575">
        <f>H17</f>
        <v>100</v>
      </c>
      <c r="V17" s="1574" t="s">
        <v>8</v>
      </c>
      <c r="W17" s="1575">
        <f>J17</f>
        <v>100</v>
      </c>
      <c r="X17" s="1568"/>
      <c r="Y17" s="370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06"/>
      <c r="Q18" s="1573"/>
      <c r="R18" s="1574"/>
      <c r="S18" s="1575"/>
      <c r="T18" s="1574"/>
      <c r="U18" s="1575"/>
      <c r="V18" s="1574"/>
      <c r="W18" s="1575"/>
      <c r="X18" s="1568"/>
      <c r="Y18" s="3706"/>
      <c r="Z18" s="1576"/>
      <c r="AA18" s="1577">
        <v>1</v>
      </c>
      <c r="AB18" s="1577">
        <v>1</v>
      </c>
      <c r="AC18" s="1577">
        <v>1</v>
      </c>
    </row>
    <row r="19" spans="1:29" ht="42.75">
      <c r="A19" s="532"/>
      <c r="B19" s="2629"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706"/>
      <c r="Q19" s="1573" t="str">
        <f>B19</f>
        <v>公共配套设施</v>
      </c>
      <c r="R19" s="1574" t="s">
        <v>8</v>
      </c>
      <c r="S19" s="1575">
        <f>F19</f>
        <v>100</v>
      </c>
      <c r="T19" s="1574" t="s">
        <v>8</v>
      </c>
      <c r="U19" s="1575">
        <f>H19</f>
        <v>100</v>
      </c>
      <c r="V19" s="1574" t="s">
        <v>8</v>
      </c>
      <c r="W19" s="1575">
        <f>J19</f>
        <v>100</v>
      </c>
      <c r="X19" s="1568"/>
      <c r="Y19" s="370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8.5">
      <c r="A21" s="532"/>
      <c r="B21" s="2617"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706"/>
      <c r="Q21" s="2605" t="str">
        <f>B21</f>
        <v>基础设施水平</v>
      </c>
      <c r="R21" s="1574" t="s">
        <v>8</v>
      </c>
      <c r="S21" s="1575">
        <f>F21</f>
        <v>100</v>
      </c>
      <c r="T21" s="1574" t="s">
        <v>8</v>
      </c>
      <c r="U21" s="1575">
        <f>H21</f>
        <v>100</v>
      </c>
      <c r="V21" s="1574" t="s">
        <v>8</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706"/>
      <c r="Q22" s="2605"/>
      <c r="R22" s="1574"/>
      <c r="S22" s="1575"/>
      <c r="T22" s="1574"/>
      <c r="U22" s="1575"/>
      <c r="V22" s="1574"/>
      <c r="W22" s="1575"/>
      <c r="X22" s="2607"/>
      <c r="Y22" s="3706"/>
      <c r="Z22" s="2606"/>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706"/>
      <c r="Q23" s="1573" t="str">
        <f>B23</f>
        <v>环境质量</v>
      </c>
      <c r="R23" s="1574" t="s">
        <v>8</v>
      </c>
      <c r="S23" s="1575">
        <f>F23</f>
        <v>100</v>
      </c>
      <c r="T23" s="1574" t="s">
        <v>8</v>
      </c>
      <c r="U23" s="1575">
        <f>H23</f>
        <v>100</v>
      </c>
      <c r="V23" s="1574" t="s">
        <v>8</v>
      </c>
      <c r="W23" s="1575">
        <f>J23</f>
        <v>100</v>
      </c>
      <c r="X23" s="1568"/>
      <c r="Y23" s="370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706"/>
      <c r="Q24" s="1573"/>
      <c r="R24" s="1574"/>
      <c r="S24" s="1575"/>
      <c r="T24" s="1574"/>
      <c r="U24" s="1575"/>
      <c r="V24" s="1574"/>
      <c r="W24" s="1575"/>
      <c r="X24" s="1568"/>
      <c r="Y24" s="370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706"/>
      <c r="Q25" s="1573">
        <f>B25</f>
        <v>111</v>
      </c>
      <c r="R25" s="1574" t="s">
        <v>8</v>
      </c>
      <c r="S25" s="1575">
        <f>F25</f>
        <v>100</v>
      </c>
      <c r="T25" s="1574" t="s">
        <v>8</v>
      </c>
      <c r="U25" s="1575">
        <f>H25</f>
        <v>100</v>
      </c>
      <c r="V25" s="1574" t="s">
        <v>8</v>
      </c>
      <c r="W25" s="1575">
        <f>J25</f>
        <v>100</v>
      </c>
      <c r="X25" s="1568"/>
      <c r="Y25" s="370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706"/>
      <c r="Q26" s="1573">
        <f t="shared" ref="Q26:Q40" si="11">B26</f>
        <v>111</v>
      </c>
      <c r="R26" s="1574" t="s">
        <v>8</v>
      </c>
      <c r="S26" s="1575">
        <f>F26</f>
        <v>100</v>
      </c>
      <c r="T26" s="1574" t="s">
        <v>8</v>
      </c>
      <c r="U26" s="1575">
        <f>H26</f>
        <v>100</v>
      </c>
      <c r="V26" s="1574" t="s">
        <v>8</v>
      </c>
      <c r="W26" s="1575">
        <f>J26</f>
        <v>100</v>
      </c>
      <c r="X26" s="1568"/>
      <c r="Y26" s="370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706"/>
      <c r="Q27" s="1151">
        <f t="shared" si="11"/>
        <v>111</v>
      </c>
      <c r="R27" s="1569" t="s">
        <v>8</v>
      </c>
      <c r="S27" s="1570">
        <f>F27</f>
        <v>100</v>
      </c>
      <c r="T27" s="1569" t="s">
        <v>8</v>
      </c>
      <c r="U27" s="1570">
        <f>H27</f>
        <v>100</v>
      </c>
      <c r="V27" s="1569" t="s">
        <v>8</v>
      </c>
      <c r="W27" s="1570">
        <f>J27</f>
        <v>100</v>
      </c>
      <c r="X27" s="1571"/>
      <c r="Y27" s="370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706"/>
      <c r="Q28" s="1573">
        <f t="shared" si="11"/>
        <v>111</v>
      </c>
      <c r="R28" s="1574" t="s">
        <v>8</v>
      </c>
      <c r="S28" s="1575">
        <f t="shared" ref="S28:S40" si="12">F28</f>
        <v>100</v>
      </c>
      <c r="T28" s="1574" t="s">
        <v>8</v>
      </c>
      <c r="U28" s="1575">
        <f t="shared" ref="U28:U40" si="13">H28</f>
        <v>100</v>
      </c>
      <c r="V28" s="1574" t="s">
        <v>8</v>
      </c>
      <c r="W28" s="1575">
        <f t="shared" ref="W28:W40" si="14">J28</f>
        <v>100</v>
      </c>
      <c r="X28" s="1568"/>
      <c r="Y28" s="3706"/>
      <c r="Z28" s="1576">
        <f t="shared" ref="Z28:Z40" si="15">Q28</f>
        <v>111</v>
      </c>
      <c r="AA28" s="1577">
        <f t="shared" si="3"/>
        <v>1</v>
      </c>
      <c r="AB28" s="1577">
        <f t="shared" si="4"/>
        <v>1</v>
      </c>
      <c r="AC28" s="1577">
        <f t="shared" si="5"/>
        <v>1</v>
      </c>
    </row>
    <row r="29" spans="1:29" ht="15">
      <c r="A29" s="2934"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707" t="s">
        <v>549</v>
      </c>
      <c r="Q29" s="1573" t="str">
        <f t="shared" si="11"/>
        <v>建筑类型</v>
      </c>
      <c r="R29" s="1574" t="s">
        <v>8</v>
      </c>
      <c r="S29" s="1575">
        <f t="shared" si="12"/>
        <v>100</v>
      </c>
      <c r="T29" s="1574" t="s">
        <v>8</v>
      </c>
      <c r="U29" s="1575">
        <f t="shared" si="13"/>
        <v>100</v>
      </c>
      <c r="V29" s="1574" t="s">
        <v>8</v>
      </c>
      <c r="W29" s="1575">
        <f t="shared" si="14"/>
        <v>100</v>
      </c>
      <c r="X29" s="1568"/>
      <c r="Y29" s="3708"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708"/>
      <c r="Q30" s="1606" t="str">
        <f t="shared" si="11"/>
        <v>项目建筑规模</v>
      </c>
      <c r="R30" s="1578" t="s">
        <v>8</v>
      </c>
      <c r="S30" s="1579" t="e">
        <f t="shared" si="12"/>
        <v>#N/A</v>
      </c>
      <c r="T30" s="1578" t="s">
        <v>8</v>
      </c>
      <c r="U30" s="1579" t="e">
        <f t="shared" si="13"/>
        <v>#N/A</v>
      </c>
      <c r="V30" s="1578" t="s">
        <v>8</v>
      </c>
      <c r="W30" s="1579" t="e">
        <f t="shared" si="14"/>
        <v>#N/A</v>
      </c>
      <c r="X30" s="1580"/>
      <c r="Y30" s="3708"/>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708"/>
      <c r="Q31" s="1573" t="str">
        <f t="shared" si="11"/>
        <v>建筑结构</v>
      </c>
      <c r="R31" s="1574" t="s">
        <v>8</v>
      </c>
      <c r="S31" s="1575">
        <f t="shared" si="12"/>
        <v>100</v>
      </c>
      <c r="T31" s="1574" t="s">
        <v>8</v>
      </c>
      <c r="U31" s="1575">
        <f t="shared" si="13"/>
        <v>100</v>
      </c>
      <c r="V31" s="1574" t="s">
        <v>8</v>
      </c>
      <c r="W31" s="1575">
        <f t="shared" si="14"/>
        <v>100</v>
      </c>
      <c r="X31" s="1568"/>
      <c r="Y31" s="3708"/>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708"/>
      <c r="Q32" s="1573" t="str">
        <f t="shared" si="11"/>
        <v>公共部分装修</v>
      </c>
      <c r="R32" s="1574" t="s">
        <v>8</v>
      </c>
      <c r="S32" s="1575">
        <f t="shared" si="12"/>
        <v>100</v>
      </c>
      <c r="T32" s="1574" t="s">
        <v>8</v>
      </c>
      <c r="U32" s="1575">
        <f t="shared" si="13"/>
        <v>100</v>
      </c>
      <c r="V32" s="1574" t="s">
        <v>8</v>
      </c>
      <c r="W32" s="1575">
        <f t="shared" si="14"/>
        <v>100</v>
      </c>
      <c r="X32" s="1568"/>
      <c r="Y32" s="3708"/>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708"/>
      <c r="Q33" s="1573" t="str">
        <f t="shared" si="11"/>
        <v>成新度</v>
      </c>
      <c r="R33" s="1574" t="s">
        <v>8</v>
      </c>
      <c r="S33" s="1575" t="e">
        <f t="shared" si="12"/>
        <v>#N/A</v>
      </c>
      <c r="T33" s="1574" t="s">
        <v>8</v>
      </c>
      <c r="U33" s="1575" t="e">
        <f t="shared" si="13"/>
        <v>#N/A</v>
      </c>
      <c r="V33" s="1574" t="s">
        <v>8</v>
      </c>
      <c r="W33" s="1575" t="e">
        <f t="shared" si="14"/>
        <v>#N/A</v>
      </c>
      <c r="X33" s="1568"/>
      <c r="Y33" s="3708"/>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708"/>
      <c r="Q34" s="1151" t="str">
        <f t="shared" si="11"/>
        <v>物业管理</v>
      </c>
      <c r="R34" s="1569" t="s">
        <v>8</v>
      </c>
      <c r="S34" s="1570">
        <f t="shared" si="12"/>
        <v>100</v>
      </c>
      <c r="T34" s="1569" t="s">
        <v>8</v>
      </c>
      <c r="U34" s="1570">
        <f t="shared" si="13"/>
        <v>100</v>
      </c>
      <c r="V34" s="1569" t="s">
        <v>8</v>
      </c>
      <c r="W34" s="1570">
        <f t="shared" si="14"/>
        <v>100</v>
      </c>
      <c r="X34" s="1571"/>
      <c r="Y34" s="3708"/>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708" t="s">
        <v>549</v>
      </c>
      <c r="Q35" s="1573" t="str">
        <f t="shared" si="11"/>
        <v>市政基础设施</v>
      </c>
      <c r="R35" s="1574" t="s">
        <v>8</v>
      </c>
      <c r="S35" s="1575">
        <f t="shared" si="12"/>
        <v>100</v>
      </c>
      <c r="T35" s="1574" t="s">
        <v>8</v>
      </c>
      <c r="U35" s="1575">
        <f t="shared" si="13"/>
        <v>100</v>
      </c>
      <c r="V35" s="1574" t="s">
        <v>8</v>
      </c>
      <c r="W35" s="1575">
        <f t="shared" si="14"/>
        <v>100</v>
      </c>
      <c r="X35" s="1568"/>
      <c r="Y35" s="3708"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708"/>
      <c r="Q36" s="1573" t="str">
        <f t="shared" si="11"/>
        <v>内部装修</v>
      </c>
      <c r="R36" s="1574" t="s">
        <v>8</v>
      </c>
      <c r="S36" s="1575">
        <f t="shared" si="12"/>
        <v>100</v>
      </c>
      <c r="T36" s="1574" t="s">
        <v>8</v>
      </c>
      <c r="U36" s="1575">
        <f t="shared" si="13"/>
        <v>100</v>
      </c>
      <c r="V36" s="1574" t="s">
        <v>8</v>
      </c>
      <c r="W36" s="1575">
        <f t="shared" si="14"/>
        <v>100</v>
      </c>
      <c r="X36" s="1568"/>
      <c r="Y36" s="3708"/>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708"/>
      <c r="Q37" s="1573" t="str">
        <f t="shared" si="11"/>
        <v>内部装修状况</v>
      </c>
      <c r="R37" s="1574" t="s">
        <v>8</v>
      </c>
      <c r="S37" s="1575">
        <f t="shared" si="12"/>
        <v>100</v>
      </c>
      <c r="T37" s="1574" t="s">
        <v>8</v>
      </c>
      <c r="U37" s="1575">
        <f t="shared" si="13"/>
        <v>100</v>
      </c>
      <c r="V37" s="1574" t="s">
        <v>8</v>
      </c>
      <c r="W37" s="1575">
        <f t="shared" si="14"/>
        <v>100</v>
      </c>
      <c r="X37" s="1568"/>
      <c r="Y37" s="370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708"/>
      <c r="Q38" s="1606">
        <f t="shared" si="11"/>
        <v>111</v>
      </c>
      <c r="R38" s="1578" t="s">
        <v>8</v>
      </c>
      <c r="S38" s="1579">
        <f t="shared" si="12"/>
        <v>100</v>
      </c>
      <c r="T38" s="1578" t="s">
        <v>8</v>
      </c>
      <c r="U38" s="1579">
        <f t="shared" si="13"/>
        <v>100</v>
      </c>
      <c r="V38" s="1578" t="s">
        <v>8</v>
      </c>
      <c r="W38" s="1579">
        <f t="shared" si="14"/>
        <v>100</v>
      </c>
      <c r="X38" s="1580"/>
      <c r="Y38" s="370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708"/>
      <c r="Q39" s="1573">
        <f t="shared" si="11"/>
        <v>111</v>
      </c>
      <c r="R39" s="1574" t="s">
        <v>8</v>
      </c>
      <c r="S39" s="1575">
        <f t="shared" si="12"/>
        <v>100</v>
      </c>
      <c r="T39" s="1574" t="s">
        <v>8</v>
      </c>
      <c r="U39" s="1575">
        <f t="shared" si="13"/>
        <v>100</v>
      </c>
      <c r="V39" s="1574" t="s">
        <v>8</v>
      </c>
      <c r="W39" s="1575">
        <f t="shared" si="14"/>
        <v>100</v>
      </c>
      <c r="X39" s="1568"/>
      <c r="Y39" s="370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85"/>
      <c r="Q40" s="1573">
        <f t="shared" si="11"/>
        <v>111</v>
      </c>
      <c r="R40" s="1574" t="s">
        <v>8</v>
      </c>
      <c r="S40" s="1575">
        <f t="shared" si="12"/>
        <v>100</v>
      </c>
      <c r="T40" s="1574" t="s">
        <v>8</v>
      </c>
      <c r="U40" s="1575">
        <f t="shared" si="13"/>
        <v>100</v>
      </c>
      <c r="V40" s="1574" t="s">
        <v>8</v>
      </c>
      <c r="W40" s="1575">
        <f t="shared" si="14"/>
        <v>100</v>
      </c>
      <c r="X40" s="1568"/>
      <c r="Y40" s="3785"/>
      <c r="Z40" s="1576">
        <f t="shared" si="15"/>
        <v>111</v>
      </c>
      <c r="AA40" s="1577">
        <f t="shared" si="3"/>
        <v>1</v>
      </c>
      <c r="AB40" s="1577">
        <f t="shared" si="4"/>
        <v>1</v>
      </c>
      <c r="AC40" s="1577">
        <f t="shared" si="5"/>
        <v>1</v>
      </c>
    </row>
    <row r="41" spans="1:29" ht="15">
      <c r="A41" s="607" t="s">
        <v>735</v>
      </c>
      <c r="B41" s="887"/>
      <c r="C41" s="2653" t="s">
        <v>1</v>
      </c>
      <c r="D41" s="2654"/>
      <c r="E41" s="2655"/>
      <c r="F41" s="2656"/>
      <c r="G41" s="2657"/>
      <c r="H41" s="2658"/>
      <c r="I41" s="2655"/>
      <c r="J41" s="2658"/>
      <c r="K41" s="1612"/>
      <c r="L41" s="2146"/>
      <c r="M41" s="2147"/>
      <c r="N41" s="2136"/>
      <c r="O41" s="2147"/>
      <c r="P41" s="3671" t="str">
        <f>A41</f>
        <v>成交单价（元/平方米）</v>
      </c>
      <c r="Q41" s="3671"/>
      <c r="R41" s="3783">
        <f>E41</f>
        <v>0</v>
      </c>
      <c r="S41" s="3783"/>
      <c r="T41" s="3783">
        <f>G41</f>
        <v>0</v>
      </c>
      <c r="U41" s="3783"/>
      <c r="V41" s="3783">
        <f>I41</f>
        <v>0</v>
      </c>
      <c r="W41" s="3783"/>
      <c r="X41" s="1560"/>
      <c r="Y41" s="1582"/>
      <c r="Z41" s="1560"/>
      <c r="AA41" s="1560"/>
      <c r="AB41" s="1560"/>
      <c r="AC41" s="1560"/>
    </row>
    <row r="42" spans="1:29" ht="15.75" thickBot="1">
      <c r="A42" s="615" t="s">
        <v>2762</v>
      </c>
      <c r="B42" s="888"/>
      <c r="C42" s="2659" t="e">
        <f>R43</f>
        <v>#DIV/0!</v>
      </c>
      <c r="D42" s="2660"/>
      <c r="E42" s="2661" t="e">
        <f>R42</f>
        <v>#DIV/0!</v>
      </c>
      <c r="F42" s="2661"/>
      <c r="G42" s="2659" t="e">
        <f>T42</f>
        <v>#DIV/0!</v>
      </c>
      <c r="H42" s="2660"/>
      <c r="I42" s="2661" t="e">
        <f>V42</f>
        <v>#DIV/0!</v>
      </c>
      <c r="J42" s="2660"/>
      <c r="K42" s="1613"/>
      <c r="L42" s="2146"/>
      <c r="M42" s="2147"/>
      <c r="N42" s="2136"/>
      <c r="O42" s="2147"/>
      <c r="P42" s="3671" t="str">
        <f>A42</f>
        <v>比较价格（元/平方米）</v>
      </c>
      <c r="Q42" s="3671"/>
      <c r="R42" s="3783" t="e">
        <f>IF(F1="售价",ROUND(PRODUCT(R41,AA7:AA40),0),ROUND(PRODUCT(R41,AA7:AA40),1))</f>
        <v>#DIV/0!</v>
      </c>
      <c r="S42" s="3783"/>
      <c r="T42" s="3783" t="e">
        <f>IF(F1="售价",ROUND(PRODUCT(T41,AB7:AB40),0),ROUND(PRODUCT(T41,AB7:AB40),1))</f>
        <v>#DIV/0!</v>
      </c>
      <c r="U42" s="3783"/>
      <c r="V42" s="3783" t="e">
        <f>IF(F1="售价",ROUND(PRODUCT(V41,AC7:AC40),0),ROUND(PRODUCT(V41,AC7:AC40),1))</f>
        <v>#DIV/0!</v>
      </c>
      <c r="W42" s="3783"/>
      <c r="X42" s="1560"/>
      <c r="Y42" s="1560"/>
      <c r="Z42" s="1560"/>
      <c r="AA42" s="1560"/>
      <c r="AB42" s="1560"/>
      <c r="AC42" s="1560"/>
    </row>
    <row r="43" spans="1:29" ht="15.75" thickBot="1">
      <c r="A43" s="621" t="s">
        <v>2936</v>
      </c>
      <c r="B43" s="622"/>
      <c r="C43" s="2662" t="e">
        <f>R43</f>
        <v>#DIV/0!</v>
      </c>
      <c r="D43" s="2662"/>
      <c r="E43" s="2662"/>
      <c r="F43" s="2662"/>
      <c r="G43" s="2662"/>
      <c r="H43" s="2662"/>
      <c r="I43" s="2662"/>
      <c r="J43" s="2662"/>
      <c r="K43" s="1614"/>
      <c r="L43" s="2146"/>
      <c r="M43" s="2147"/>
      <c r="N43" s="2147"/>
      <c r="O43" s="2147"/>
      <c r="P43" s="3668" t="str">
        <f>A43</f>
        <v>估价对象XX用房的比较价格（楼面单价，元/平方米）</v>
      </c>
      <c r="Q43" s="3669"/>
      <c r="R43" s="3784" t="e">
        <f>IF(F1="售价",ROUND(AVERAGE(R42:V42),0),ROUND(AVERAGE(R42:V42),1))</f>
        <v>#DIV/0!</v>
      </c>
      <c r="S43" s="3784"/>
      <c r="T43" s="3784"/>
      <c r="U43" s="3784"/>
      <c r="V43" s="3784"/>
      <c r="W43" s="3784"/>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29" t="str">
        <f>YEAR(C7)&amp;"-"&amp;MONTH(C7)</f>
        <v>2018-3</v>
      </c>
      <c r="D52" s="2831">
        <f>EDATE(C52,-1)</f>
        <v>43132</v>
      </c>
      <c r="E52" s="2831">
        <f t="shared" ref="E52:O52" si="16">EDATE(D52,-1)</f>
        <v>43101</v>
      </c>
      <c r="F52" s="2831">
        <f t="shared" si="16"/>
        <v>43070</v>
      </c>
      <c r="G52" s="2831">
        <f t="shared" si="16"/>
        <v>43040</v>
      </c>
      <c r="H52" s="2831">
        <f t="shared" si="16"/>
        <v>43009</v>
      </c>
      <c r="I52" s="2831">
        <f t="shared" si="16"/>
        <v>42979</v>
      </c>
      <c r="J52" s="2831">
        <f t="shared" si="16"/>
        <v>42948</v>
      </c>
      <c r="K52" s="2831">
        <f t="shared" si="16"/>
        <v>42917</v>
      </c>
      <c r="L52" s="2831">
        <f t="shared" si="16"/>
        <v>42887</v>
      </c>
      <c r="M52" s="2831">
        <f t="shared" si="16"/>
        <v>42856</v>
      </c>
      <c r="N52" s="2831">
        <f t="shared" si="16"/>
        <v>42826</v>
      </c>
      <c r="O52" s="2831">
        <f t="shared" si="16"/>
        <v>42795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2560</v>
      </c>
      <c r="C76" s="2624" t="s">
        <v>2561</v>
      </c>
      <c r="D76" s="2624" t="s">
        <v>2562</v>
      </c>
      <c r="E76" s="2624" t="s">
        <v>2563</v>
      </c>
      <c r="F76" s="2624" t="s">
        <v>2564</v>
      </c>
      <c r="G76" s="2624"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104884.85平方米。</v>
      </c>
    </row>
    <row r="7" spans="1:4" ht="56.25">
      <c r="A7" s="1797" t="s">
        <v>2749</v>
      </c>
    </row>
    <row r="8" spans="1:4" ht="18.75">
      <c r="A8" s="1796" t="s">
        <v>1906</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2018年3月7日（评估专业人员勘察现场之日）</v>
      </c>
    </row>
    <row r="12" spans="1:4" ht="18.75">
      <c r="A12" s="1799" t="s">
        <v>2025</v>
      </c>
    </row>
    <row r="13" spans="1:4" ht="18.75">
      <c r="A13" s="1793" t="s">
        <v>2944</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根据《国有土地使用证》[京朝国用（2009出）第0475号]，估价对象（分摊）出让国有建设用地使用权面积为99890.33平方米。根据《面积说明》，估价对象规划建筑面积为104884.85平方米。</v>
      </c>
    </row>
    <row r="21" spans="1:1" ht="18.75">
      <c r="A21" s="1793" t="s">
        <v>2074</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本次估价对象为出让国有建设用地使用权，《国有土地使用证》[]证载土地终止日期为住宅2067年10月19日。截至估价期日，出让国有建设用地使用权剩余土地使用年限为。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4"/>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2076</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677" t="s">
        <v>797</v>
      </c>
      <c r="D4" s="3678"/>
      <c r="E4" s="3677" t="s">
        <v>798</v>
      </c>
      <c r="F4" s="3678"/>
      <c r="G4" s="3677" t="s">
        <v>799</v>
      </c>
      <c r="H4" s="3678"/>
      <c r="I4" s="3677" t="s">
        <v>800</v>
      </c>
      <c r="J4" s="3678"/>
      <c r="K4" s="514" t="s">
        <v>801</v>
      </c>
      <c r="L4" s="2135"/>
      <c r="M4" s="2136"/>
      <c r="N4" s="2136"/>
      <c r="O4" s="2136"/>
      <c r="P4" s="3679" t="s">
        <v>802</v>
      </c>
      <c r="Q4" s="3680"/>
      <c r="R4" s="3685" t="s">
        <v>798</v>
      </c>
      <c r="S4" s="3686"/>
      <c r="T4" s="3685" t="s">
        <v>799</v>
      </c>
      <c r="U4" s="3686"/>
      <c r="V4" s="3672" t="s">
        <v>800</v>
      </c>
      <c r="W4" s="3672"/>
      <c r="X4" s="1568"/>
      <c r="Y4" s="3685" t="s">
        <v>802</v>
      </c>
      <c r="Z4" s="3686"/>
      <c r="AA4" s="3674" t="s">
        <v>798</v>
      </c>
      <c r="AB4" s="3675" t="s">
        <v>799</v>
      </c>
      <c r="AC4" s="3674" t="s">
        <v>800</v>
      </c>
    </row>
    <row r="5" spans="1:29" ht="15">
      <c r="A5" s="515"/>
      <c r="B5" s="516"/>
      <c r="C5" s="3693" t="s">
        <v>2930</v>
      </c>
      <c r="D5" s="3694"/>
      <c r="E5" s="3693" t="s">
        <v>2931</v>
      </c>
      <c r="F5" s="3694"/>
      <c r="G5" s="3693" t="s">
        <v>2932</v>
      </c>
      <c r="H5" s="3694"/>
      <c r="I5" s="3693" t="s">
        <v>2933</v>
      </c>
      <c r="J5" s="3694"/>
      <c r="K5" s="514"/>
      <c r="L5" s="2135"/>
      <c r="M5" s="2136"/>
      <c r="N5" s="2136"/>
      <c r="O5" s="2136"/>
      <c r="P5" s="3681"/>
      <c r="Q5" s="3682"/>
      <c r="R5" s="3687"/>
      <c r="S5" s="3688"/>
      <c r="T5" s="3687"/>
      <c r="U5" s="3688"/>
      <c r="V5" s="3672"/>
      <c r="W5" s="3672"/>
      <c r="X5" s="1568"/>
      <c r="Y5" s="3687"/>
      <c r="Z5" s="3688"/>
      <c r="AA5" s="3675"/>
      <c r="AB5" s="3675"/>
      <c r="AC5" s="3675"/>
    </row>
    <row r="6" spans="1:29" ht="15.75" thickBot="1">
      <c r="A6" s="517"/>
      <c r="B6" s="518"/>
      <c r="C6" s="3691" t="s">
        <v>2934</v>
      </c>
      <c r="D6" s="3692"/>
      <c r="E6" s="3695" t="s">
        <v>2934</v>
      </c>
      <c r="F6" s="3696"/>
      <c r="G6" s="3691" t="s">
        <v>2934</v>
      </c>
      <c r="H6" s="3692"/>
      <c r="I6" s="3691" t="s">
        <v>2934</v>
      </c>
      <c r="J6" s="3692"/>
      <c r="K6" s="514" t="s">
        <v>527</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528</v>
      </c>
      <c r="C7" s="519">
        <f>'数据-取费表'!B2</f>
        <v>43166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702" t="s">
        <v>529</v>
      </c>
      <c r="Q7" s="3704"/>
      <c r="R7" s="1569" t="s">
        <v>8</v>
      </c>
      <c r="S7" s="1570">
        <f t="shared" ref="S7:S14" si="0">F7</f>
        <v>0</v>
      </c>
      <c r="T7" s="1569" t="s">
        <v>8</v>
      </c>
      <c r="U7" s="1570">
        <f t="shared" ref="U7:U14" si="1">H7</f>
        <v>0</v>
      </c>
      <c r="V7" s="1569" t="s">
        <v>8</v>
      </c>
      <c r="W7" s="1570">
        <f t="shared" ref="W7:W14" si="2">J7</f>
        <v>0</v>
      </c>
      <c r="X7" s="1571"/>
      <c r="Y7" s="3702" t="s">
        <v>529</v>
      </c>
      <c r="Z7" s="3703"/>
      <c r="AA7" s="1572" t="e">
        <f>D7/F7</f>
        <v>#DIV/0!</v>
      </c>
      <c r="AB7" s="1572" t="e">
        <f>D7/H7</f>
        <v>#DIV/0!</v>
      </c>
      <c r="AC7" s="1572" t="e">
        <f>D7/J7</f>
        <v>#DIV/0!</v>
      </c>
    </row>
    <row r="8" spans="1:29" s="1220" customFormat="1" ht="15.75" thickBot="1">
      <c r="A8" s="2940"/>
      <c r="B8" s="2947"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702" t="s">
        <v>532</v>
      </c>
      <c r="Q8" s="3703"/>
      <c r="R8" s="1569" t="s">
        <v>8</v>
      </c>
      <c r="S8" s="1570">
        <f t="shared" si="0"/>
        <v>0</v>
      </c>
      <c r="T8" s="1569" t="s">
        <v>8</v>
      </c>
      <c r="U8" s="1570">
        <f t="shared" si="1"/>
        <v>0</v>
      </c>
      <c r="V8" s="1569" t="s">
        <v>8</v>
      </c>
      <c r="W8" s="1570">
        <f t="shared" si="2"/>
        <v>0</v>
      </c>
      <c r="X8" s="1571"/>
      <c r="Y8" s="3702" t="s">
        <v>532</v>
      </c>
      <c r="Z8" s="3703"/>
      <c r="AA8" s="1572" t="e">
        <f t="shared" ref="AA8:AA36" si="3">D8/F8</f>
        <v>#DIV/0!</v>
      </c>
      <c r="AB8" s="1572" t="e">
        <f t="shared" ref="AB8:AB36" si="4">D8/H8</f>
        <v>#DIV/0!</v>
      </c>
      <c r="AC8" s="1572" t="e">
        <f t="shared" ref="AC8:AC36" si="5">D8/J8</f>
        <v>#DIV/0!</v>
      </c>
    </row>
    <row r="9" spans="1:29" s="1220" customFormat="1" ht="15">
      <c r="A9" s="2941"/>
      <c r="B9" s="2948" t="s">
        <v>2758</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71" t="s">
        <v>534</v>
      </c>
      <c r="Q9" s="1151" t="str">
        <f t="shared" ref="Q9:Q14" si="6">B9</f>
        <v>用途</v>
      </c>
      <c r="R9" s="1569" t="s">
        <v>8</v>
      </c>
      <c r="S9" s="1570">
        <f t="shared" si="0"/>
        <v>100</v>
      </c>
      <c r="T9" s="1569" t="s">
        <v>8</v>
      </c>
      <c r="U9" s="1570">
        <f t="shared" si="1"/>
        <v>100</v>
      </c>
      <c r="V9" s="1569" t="s">
        <v>8</v>
      </c>
      <c r="W9" s="1570">
        <f t="shared" si="2"/>
        <v>100</v>
      </c>
      <c r="X9" s="1571"/>
      <c r="Y9" s="3617" t="s">
        <v>535</v>
      </c>
      <c r="Z9" s="1150" t="str">
        <f t="shared" ref="Z9:Z14" si="7">Q9</f>
        <v>用途</v>
      </c>
      <c r="AA9" s="1572">
        <f t="shared" si="3"/>
        <v>1</v>
      </c>
      <c r="AB9" s="1572">
        <f t="shared" si="4"/>
        <v>1</v>
      </c>
      <c r="AC9" s="1572">
        <f t="shared" si="5"/>
        <v>1</v>
      </c>
    </row>
    <row r="10" spans="1:29" s="1338" customFormat="1" ht="27">
      <c r="A10" s="2942"/>
      <c r="B10" s="2947" t="s">
        <v>2759</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71"/>
      <c r="Q11" s="1151">
        <f t="shared" si="6"/>
        <v>111</v>
      </c>
      <c r="R11" s="1569" t="s">
        <v>8</v>
      </c>
      <c r="S11" s="1570">
        <f t="shared" si="0"/>
        <v>100</v>
      </c>
      <c r="T11" s="1569" t="s">
        <v>8</v>
      </c>
      <c r="U11" s="1570">
        <f t="shared" si="1"/>
        <v>100</v>
      </c>
      <c r="V11" s="1569" t="s">
        <v>8</v>
      </c>
      <c r="W11" s="1570">
        <f t="shared" si="2"/>
        <v>100</v>
      </c>
      <c r="X11" s="1571"/>
      <c r="Y11" s="3617"/>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85.5">
      <c r="A14" s="2937"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705" t="s">
        <v>539</v>
      </c>
      <c r="Q14" s="1573" t="str">
        <f t="shared" si="6"/>
        <v>交通便捷度</v>
      </c>
      <c r="R14" s="1574" t="s">
        <v>8</v>
      </c>
      <c r="S14" s="1575">
        <f t="shared" si="0"/>
        <v>100</v>
      </c>
      <c r="T14" s="1574" t="s">
        <v>8</v>
      </c>
      <c r="U14" s="1575">
        <f t="shared" si="1"/>
        <v>100</v>
      </c>
      <c r="V14" s="1574" t="s">
        <v>8</v>
      </c>
      <c r="W14" s="1575">
        <f t="shared" si="2"/>
        <v>100</v>
      </c>
      <c r="X14" s="1568"/>
      <c r="Y14" s="3705"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706"/>
      <c r="Q15" s="1573"/>
      <c r="R15" s="1574"/>
      <c r="S15" s="1575"/>
      <c r="T15" s="1574"/>
      <c r="U15" s="1575"/>
      <c r="V15" s="1574"/>
      <c r="W15" s="1575"/>
      <c r="X15" s="1568"/>
      <c r="Y15" s="3706"/>
      <c r="Z15" s="1576"/>
      <c r="AA15" s="1577">
        <v>1</v>
      </c>
      <c r="AB15" s="1577">
        <v>1</v>
      </c>
      <c r="AC15" s="1577">
        <v>1</v>
      </c>
    </row>
    <row r="16" spans="1:29" ht="42.75">
      <c r="A16" s="515"/>
      <c r="B16" s="2629"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706"/>
      <c r="Q16" s="1573" t="str">
        <f>B16</f>
        <v>公共配套设施</v>
      </c>
      <c r="R16" s="1574" t="s">
        <v>8</v>
      </c>
      <c r="S16" s="1575">
        <f>F16</f>
        <v>100</v>
      </c>
      <c r="T16" s="1574" t="s">
        <v>8</v>
      </c>
      <c r="U16" s="1575">
        <f>H16</f>
        <v>100</v>
      </c>
      <c r="V16" s="1574" t="s">
        <v>8</v>
      </c>
      <c r="W16" s="1575">
        <f>J16</f>
        <v>100</v>
      </c>
      <c r="X16" s="1568"/>
      <c r="Y16" s="370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706"/>
      <c r="Q17" s="1573"/>
      <c r="R17" s="1574"/>
      <c r="S17" s="1575"/>
      <c r="T17" s="1574"/>
      <c r="U17" s="1575"/>
      <c r="V17" s="1574"/>
      <c r="W17" s="1575"/>
      <c r="X17" s="1568"/>
      <c r="Y17" s="3706"/>
      <c r="Z17" s="1576"/>
      <c r="AA17" s="1577">
        <v>1</v>
      </c>
      <c r="AB17" s="1577">
        <v>1</v>
      </c>
      <c r="AC17" s="1577">
        <v>1</v>
      </c>
    </row>
    <row r="18" spans="1:29" ht="28.5">
      <c r="A18" s="515"/>
      <c r="B18" s="2617"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706"/>
      <c r="Q18" s="2605" t="str">
        <f>B18</f>
        <v>基础设施水平</v>
      </c>
      <c r="R18" s="1574" t="s">
        <v>8</v>
      </c>
      <c r="S18" s="1575">
        <f>F18</f>
        <v>100</v>
      </c>
      <c r="T18" s="1574" t="s">
        <v>8</v>
      </c>
      <c r="U18" s="1575">
        <f>H18</f>
        <v>100</v>
      </c>
      <c r="V18" s="1574" t="s">
        <v>8</v>
      </c>
      <c r="W18" s="1575">
        <f>J18</f>
        <v>100</v>
      </c>
      <c r="X18" s="2607"/>
      <c r="Y18" s="3706"/>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706"/>
      <c r="Q19" s="2605"/>
      <c r="R19" s="1574"/>
      <c r="S19" s="1575"/>
      <c r="T19" s="1574"/>
      <c r="U19" s="1575"/>
      <c r="V19" s="1574"/>
      <c r="W19" s="1575"/>
      <c r="X19" s="2607"/>
      <c r="Y19" s="3706"/>
      <c r="Z19" s="2606"/>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706"/>
      <c r="Q20" s="1573" t="str">
        <f>B20</f>
        <v>自然及人文环境</v>
      </c>
      <c r="R20" s="1574" t="s">
        <v>8</v>
      </c>
      <c r="S20" s="1575">
        <f>F20</f>
        <v>100</v>
      </c>
      <c r="T20" s="1574" t="s">
        <v>8</v>
      </c>
      <c r="U20" s="1575">
        <f>H20</f>
        <v>100</v>
      </c>
      <c r="V20" s="1574" t="s">
        <v>8</v>
      </c>
      <c r="W20" s="1575">
        <f>J20</f>
        <v>100</v>
      </c>
      <c r="X20" s="1568"/>
      <c r="Y20" s="370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706"/>
      <c r="Q21" s="1573"/>
      <c r="R21" s="1574"/>
      <c r="S21" s="1575"/>
      <c r="T21" s="1574"/>
      <c r="U21" s="1575"/>
      <c r="V21" s="1574"/>
      <c r="W21" s="1575"/>
      <c r="X21" s="1568"/>
      <c r="Y21" s="3706"/>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706"/>
      <c r="Q22" s="1573" t="str">
        <f>B22</f>
        <v>楼层</v>
      </c>
      <c r="R22" s="1574" t="s">
        <v>8</v>
      </c>
      <c r="S22" s="1575">
        <f>F22</f>
        <v>100</v>
      </c>
      <c r="T22" s="1574" t="s">
        <v>8</v>
      </c>
      <c r="U22" s="1575">
        <f>H22</f>
        <v>100</v>
      </c>
      <c r="V22" s="1574" t="s">
        <v>8</v>
      </c>
      <c r="W22" s="1575">
        <f>J22</f>
        <v>100</v>
      </c>
      <c r="X22" s="1568"/>
      <c r="Y22" s="370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706"/>
      <c r="Q23" s="1573">
        <f>B23</f>
        <v>111</v>
      </c>
      <c r="R23" s="1574" t="s">
        <v>8</v>
      </c>
      <c r="S23" s="1575">
        <f>F23</f>
        <v>100</v>
      </c>
      <c r="T23" s="1574" t="s">
        <v>8</v>
      </c>
      <c r="U23" s="1575">
        <f>H23</f>
        <v>100</v>
      </c>
      <c r="V23" s="1574" t="s">
        <v>8</v>
      </c>
      <c r="W23" s="1575">
        <f>J23</f>
        <v>100</v>
      </c>
      <c r="X23" s="1568"/>
      <c r="Y23" s="370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706"/>
      <c r="Q24" s="1573">
        <f t="shared" ref="Q24:Q36" si="11">B24</f>
        <v>111</v>
      </c>
      <c r="R24" s="1574" t="s">
        <v>8</v>
      </c>
      <c r="S24" s="1575">
        <f>F24</f>
        <v>100</v>
      </c>
      <c r="T24" s="1574" t="s">
        <v>8</v>
      </c>
      <c r="U24" s="1575">
        <f>H24</f>
        <v>100</v>
      </c>
      <c r="V24" s="1574" t="s">
        <v>8</v>
      </c>
      <c r="W24" s="1575">
        <f>J24</f>
        <v>100</v>
      </c>
      <c r="X24" s="1568"/>
      <c r="Y24" s="370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706"/>
      <c r="Q25" s="1151">
        <f t="shared" si="11"/>
        <v>111</v>
      </c>
      <c r="R25" s="1569" t="s">
        <v>8</v>
      </c>
      <c r="S25" s="1570">
        <f>F25</f>
        <v>100</v>
      </c>
      <c r="T25" s="1569" t="s">
        <v>8</v>
      </c>
      <c r="U25" s="1570">
        <f>H25</f>
        <v>100</v>
      </c>
      <c r="V25" s="1569" t="s">
        <v>8</v>
      </c>
      <c r="W25" s="1570">
        <f>J25</f>
        <v>100</v>
      </c>
      <c r="X25" s="1571"/>
      <c r="Y25" s="3706"/>
      <c r="Z25" s="1150">
        <f>Q25</f>
        <v>111</v>
      </c>
      <c r="AA25" s="1577">
        <f>D25/F25</f>
        <v>1</v>
      </c>
      <c r="AB25" s="1577">
        <f>D25/H25</f>
        <v>1</v>
      </c>
      <c r="AC25" s="1577">
        <f>D25/J25</f>
        <v>1</v>
      </c>
    </row>
    <row r="26" spans="1:29" ht="15">
      <c r="A26" s="2934"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707"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08"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708"/>
      <c r="Q27" s="1606" t="str">
        <f t="shared" si="11"/>
        <v>项目停车位配比</v>
      </c>
      <c r="R27" s="1578" t="s">
        <v>8</v>
      </c>
      <c r="S27" s="1579">
        <f t="shared" si="12"/>
        <v>100</v>
      </c>
      <c r="T27" s="1578" t="s">
        <v>8</v>
      </c>
      <c r="U27" s="1579">
        <f t="shared" si="13"/>
        <v>100</v>
      </c>
      <c r="V27" s="1578" t="s">
        <v>8</v>
      </c>
      <c r="W27" s="1579">
        <f t="shared" si="14"/>
        <v>100</v>
      </c>
      <c r="X27" s="1580"/>
      <c r="Y27" s="3708"/>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708"/>
      <c r="Q28" s="1573" t="str">
        <f t="shared" si="11"/>
        <v>公共部分装修</v>
      </c>
      <c r="R28" s="1574" t="s">
        <v>8</v>
      </c>
      <c r="S28" s="1575">
        <f t="shared" si="12"/>
        <v>100</v>
      </c>
      <c r="T28" s="1574" t="s">
        <v>8</v>
      </c>
      <c r="U28" s="1575">
        <f t="shared" si="13"/>
        <v>100</v>
      </c>
      <c r="V28" s="1574" t="s">
        <v>8</v>
      </c>
      <c r="W28" s="1575">
        <f t="shared" si="14"/>
        <v>100</v>
      </c>
      <c r="X28" s="1568"/>
      <c r="Y28" s="3708"/>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708"/>
      <c r="Q29" s="1573" t="str">
        <f t="shared" si="11"/>
        <v>成新率</v>
      </c>
      <c r="R29" s="1574" t="s">
        <v>8</v>
      </c>
      <c r="S29" s="1575" t="e">
        <f t="shared" si="12"/>
        <v>#N/A</v>
      </c>
      <c r="T29" s="1574" t="s">
        <v>8</v>
      </c>
      <c r="U29" s="1575" t="e">
        <f t="shared" si="13"/>
        <v>#N/A</v>
      </c>
      <c r="V29" s="1574" t="s">
        <v>8</v>
      </c>
      <c r="W29" s="1575" t="e">
        <f t="shared" si="14"/>
        <v>#N/A</v>
      </c>
      <c r="X29" s="1568"/>
      <c r="Y29" s="3708"/>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708"/>
      <c r="Q30" s="1573" t="str">
        <f t="shared" si="11"/>
        <v>物业等级</v>
      </c>
      <c r="R30" s="1574" t="s">
        <v>8</v>
      </c>
      <c r="S30" s="1575">
        <f t="shared" si="12"/>
        <v>100</v>
      </c>
      <c r="T30" s="1574" t="s">
        <v>8</v>
      </c>
      <c r="U30" s="1575">
        <f t="shared" si="13"/>
        <v>100</v>
      </c>
      <c r="V30" s="1574" t="s">
        <v>8</v>
      </c>
      <c r="W30" s="1575">
        <f t="shared" si="14"/>
        <v>100</v>
      </c>
      <c r="X30" s="1568"/>
      <c r="Y30" s="3708"/>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708"/>
      <c r="Q31" s="1151" t="str">
        <f t="shared" si="11"/>
        <v>停车位面积</v>
      </c>
      <c r="R31" s="1569" t="s">
        <v>8</v>
      </c>
      <c r="S31" s="1570" t="e">
        <f t="shared" si="12"/>
        <v>#N/A</v>
      </c>
      <c r="T31" s="1569" t="s">
        <v>8</v>
      </c>
      <c r="U31" s="1570" t="e">
        <f t="shared" si="13"/>
        <v>#N/A</v>
      </c>
      <c r="V31" s="1569" t="s">
        <v>8</v>
      </c>
      <c r="W31" s="1570" t="e">
        <f t="shared" si="14"/>
        <v>#N/A</v>
      </c>
      <c r="X31" s="1571"/>
      <c r="Y31" s="3708"/>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708" t="s">
        <v>549</v>
      </c>
      <c r="Q32" s="1573" t="str">
        <f t="shared" si="11"/>
        <v>车位类型</v>
      </c>
      <c r="R32" s="1574" t="s">
        <v>8</v>
      </c>
      <c r="S32" s="1575">
        <f t="shared" si="12"/>
        <v>100</v>
      </c>
      <c r="T32" s="1574" t="s">
        <v>8</v>
      </c>
      <c r="U32" s="1575">
        <f t="shared" si="13"/>
        <v>100</v>
      </c>
      <c r="V32" s="1574" t="s">
        <v>8</v>
      </c>
      <c r="W32" s="1575">
        <f t="shared" si="14"/>
        <v>100</v>
      </c>
      <c r="X32" s="1568"/>
      <c r="Y32" s="3708"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708"/>
      <c r="Q33" s="1573" t="str">
        <f t="shared" si="11"/>
        <v>是否直接入户</v>
      </c>
      <c r="R33" s="1574" t="s">
        <v>8</v>
      </c>
      <c r="S33" s="1575">
        <f t="shared" si="12"/>
        <v>100</v>
      </c>
      <c r="T33" s="1574" t="s">
        <v>8</v>
      </c>
      <c r="U33" s="1575">
        <f t="shared" si="13"/>
        <v>100</v>
      </c>
      <c r="V33" s="1574" t="s">
        <v>8</v>
      </c>
      <c r="W33" s="1575">
        <f t="shared" si="14"/>
        <v>100</v>
      </c>
      <c r="X33" s="1568"/>
      <c r="Y33" s="370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708"/>
      <c r="Q34" s="1573">
        <f t="shared" si="11"/>
        <v>111</v>
      </c>
      <c r="R34" s="1574" t="s">
        <v>8</v>
      </c>
      <c r="S34" s="1575">
        <f t="shared" si="12"/>
        <v>100</v>
      </c>
      <c r="T34" s="1574" t="s">
        <v>8</v>
      </c>
      <c r="U34" s="1575">
        <f t="shared" si="13"/>
        <v>100</v>
      </c>
      <c r="V34" s="1574" t="s">
        <v>8</v>
      </c>
      <c r="W34" s="1575">
        <f t="shared" si="14"/>
        <v>100</v>
      </c>
      <c r="X34" s="1568"/>
      <c r="Y34" s="370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708"/>
      <c r="Q35" s="1606">
        <f t="shared" si="11"/>
        <v>111</v>
      </c>
      <c r="R35" s="1578" t="s">
        <v>8</v>
      </c>
      <c r="S35" s="1579">
        <f t="shared" si="12"/>
        <v>100</v>
      </c>
      <c r="T35" s="1578" t="s">
        <v>8</v>
      </c>
      <c r="U35" s="1579">
        <f t="shared" si="13"/>
        <v>100</v>
      </c>
      <c r="V35" s="1578" t="s">
        <v>8</v>
      </c>
      <c r="W35" s="1579">
        <f t="shared" si="14"/>
        <v>100</v>
      </c>
      <c r="X35" s="1580"/>
      <c r="Y35" s="370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708"/>
      <c r="Q36" s="1573">
        <f t="shared" si="11"/>
        <v>111</v>
      </c>
      <c r="R36" s="1574" t="s">
        <v>8</v>
      </c>
      <c r="S36" s="1575">
        <f t="shared" si="12"/>
        <v>100</v>
      </c>
      <c r="T36" s="1574" t="s">
        <v>8</v>
      </c>
      <c r="U36" s="1575">
        <f t="shared" si="13"/>
        <v>100</v>
      </c>
      <c r="V36" s="1574" t="s">
        <v>8</v>
      </c>
      <c r="W36" s="1575">
        <f t="shared" si="14"/>
        <v>100</v>
      </c>
      <c r="X36" s="1568"/>
      <c r="Y36" s="3708"/>
      <c r="Z36" s="1576">
        <f t="shared" si="15"/>
        <v>111</v>
      </c>
      <c r="AA36" s="1577">
        <f t="shared" si="3"/>
        <v>1</v>
      </c>
      <c r="AB36" s="1577">
        <f t="shared" si="4"/>
        <v>1</v>
      </c>
      <c r="AC36" s="1577">
        <f t="shared" si="5"/>
        <v>1</v>
      </c>
    </row>
    <row r="37" spans="1:29" ht="15">
      <c r="A37" s="1848" t="s">
        <v>2077</v>
      </c>
      <c r="B37" s="1849" t="s">
        <v>2078</v>
      </c>
      <c r="C37" s="2653" t="s">
        <v>1</v>
      </c>
      <c r="D37" s="2654"/>
      <c r="E37" s="2655"/>
      <c r="F37" s="2656"/>
      <c r="G37" s="2657"/>
      <c r="H37" s="2658"/>
      <c r="I37" s="2655"/>
      <c r="J37" s="2658"/>
      <c r="K37" s="1612"/>
      <c r="L37" s="2146"/>
      <c r="M37" s="2147"/>
      <c r="N37" s="2136"/>
      <c r="O37" s="2147"/>
      <c r="P37" s="3671" t="str">
        <f>A37</f>
        <v>成交单价</v>
      </c>
      <c r="Q37" s="3671"/>
      <c r="R37" s="3783">
        <f>E37</f>
        <v>0</v>
      </c>
      <c r="S37" s="3783"/>
      <c r="T37" s="3783">
        <f>G37</f>
        <v>0</v>
      </c>
      <c r="U37" s="3783"/>
      <c r="V37" s="3783">
        <f>I37</f>
        <v>0</v>
      </c>
      <c r="W37" s="3783"/>
      <c r="X37" s="1560"/>
      <c r="Y37" s="1582"/>
      <c r="Z37" s="1560"/>
      <c r="AA37" s="1560"/>
      <c r="AB37" s="1560"/>
      <c r="AC37" s="1560"/>
    </row>
    <row r="38" spans="1:29" ht="15.75" thickBot="1">
      <c r="A38" s="615" t="s">
        <v>2762</v>
      </c>
      <c r="B38" s="888"/>
      <c r="C38" s="2659" t="e">
        <f>R39</f>
        <v>#DIV/0!</v>
      </c>
      <c r="D38" s="2660"/>
      <c r="E38" s="2661" t="e">
        <f>R38</f>
        <v>#DIV/0!</v>
      </c>
      <c r="F38" s="2661"/>
      <c r="G38" s="2659" t="e">
        <f>T38</f>
        <v>#DIV/0!</v>
      </c>
      <c r="H38" s="2660"/>
      <c r="I38" s="2661" t="e">
        <f>V38</f>
        <v>#DIV/0!</v>
      </c>
      <c r="J38" s="2660"/>
      <c r="K38" s="1613"/>
      <c r="L38" s="2146"/>
      <c r="M38" s="2147"/>
      <c r="N38" s="2147"/>
      <c r="O38" s="2147"/>
      <c r="P38" s="3671" t="str">
        <f>A38</f>
        <v>比较价格（元/平方米）</v>
      </c>
      <c r="Q38" s="3671"/>
      <c r="R38" s="3783" t="e">
        <f>IF(F1="售价",ROUND(PRODUCT(R37,AA7:AA36),0),ROUND(PRODUCT(R37,AA7:AA36),1))</f>
        <v>#DIV/0!</v>
      </c>
      <c r="S38" s="3783"/>
      <c r="T38" s="3783" t="e">
        <f>IF(F1="售价",ROUND(PRODUCT(T37,AB7:AB36),0),ROUND(PRODUCT(T37,AB7:AB36),1))</f>
        <v>#DIV/0!</v>
      </c>
      <c r="U38" s="3783"/>
      <c r="V38" s="3783" t="e">
        <f>IF(F1="售价",ROUND(PRODUCT(V37,AC7:AC36),0),ROUND(PRODUCT(V37,AC7:AC36),1))</f>
        <v>#DIV/0!</v>
      </c>
      <c r="W38" s="3783"/>
      <c r="X38" s="1560"/>
      <c r="Y38" s="1560"/>
      <c r="Z38" s="1560"/>
      <c r="AA38" s="1560"/>
      <c r="AB38" s="1560"/>
      <c r="AC38" s="1560"/>
    </row>
    <row r="39" spans="1:29" ht="15.75" thickBot="1">
      <c r="A39" s="621" t="s">
        <v>2936</v>
      </c>
      <c r="B39" s="622"/>
      <c r="C39" s="2662" t="e">
        <f>R39</f>
        <v>#DIV/0!</v>
      </c>
      <c r="D39" s="2662"/>
      <c r="E39" s="2662"/>
      <c r="F39" s="2662"/>
      <c r="G39" s="2662"/>
      <c r="H39" s="2662"/>
      <c r="I39" s="2662"/>
      <c r="J39" s="2662"/>
      <c r="K39" s="1614"/>
      <c r="L39" s="2146"/>
      <c r="M39" s="2147"/>
      <c r="N39" s="2147"/>
      <c r="O39" s="2147"/>
      <c r="P39" s="3668" t="str">
        <f>A39</f>
        <v>估价对象XX用房的比较价格（楼面单价，元/平方米）</v>
      </c>
      <c r="Q39" s="3669"/>
      <c r="R39" s="3784" t="e">
        <f>IF(F1="售价",ROUND(AVERAGE(R38:V38),0),ROUND(AVERAGE(R38:V38),1))</f>
        <v>#DIV/0!</v>
      </c>
      <c r="S39" s="3784"/>
      <c r="T39" s="3784"/>
      <c r="U39" s="3784"/>
      <c r="V39" s="3784"/>
      <c r="W39" s="3784"/>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29" t="str">
        <f>YEAR(C7)&amp;"-"&amp;MONTH(C7)</f>
        <v>2018-3</v>
      </c>
      <c r="D48" s="2831">
        <f>EDATE(C48,-1)</f>
        <v>43132</v>
      </c>
      <c r="E48" s="2831">
        <f t="shared" ref="E48:O48" si="16">EDATE(D48,-1)</f>
        <v>43101</v>
      </c>
      <c r="F48" s="2831">
        <f t="shared" si="16"/>
        <v>43070</v>
      </c>
      <c r="G48" s="2831">
        <f t="shared" si="16"/>
        <v>43040</v>
      </c>
      <c r="H48" s="2831">
        <f t="shared" si="16"/>
        <v>43009</v>
      </c>
      <c r="I48" s="2831">
        <f t="shared" si="16"/>
        <v>42979</v>
      </c>
      <c r="J48" s="2831">
        <f t="shared" si="16"/>
        <v>42948</v>
      </c>
      <c r="K48" s="2831">
        <f t="shared" si="16"/>
        <v>42917</v>
      </c>
      <c r="L48" s="2831">
        <f t="shared" si="16"/>
        <v>42887</v>
      </c>
      <c r="M48" s="2831">
        <f t="shared" si="16"/>
        <v>42856</v>
      </c>
      <c r="N48" s="2831">
        <f t="shared" si="16"/>
        <v>42826</v>
      </c>
      <c r="O48" s="2831">
        <f t="shared" si="16"/>
        <v>42795</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2560</v>
      </c>
      <c r="C67" s="2624" t="s">
        <v>2561</v>
      </c>
      <c r="D67" s="2624" t="s">
        <v>2562</v>
      </c>
      <c r="E67" s="2624" t="s">
        <v>2563</v>
      </c>
      <c r="F67" s="2624" t="s">
        <v>2564</v>
      </c>
      <c r="G67" s="2624" t="s">
        <v>2565</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4"/>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677" t="s">
        <v>797</v>
      </c>
      <c r="D4" s="3678"/>
      <c r="E4" s="3711" t="s">
        <v>798</v>
      </c>
      <c r="F4" s="3712"/>
      <c r="G4" s="3677" t="s">
        <v>799</v>
      </c>
      <c r="H4" s="3678"/>
      <c r="I4" s="3677" t="s">
        <v>800</v>
      </c>
      <c r="J4" s="3678"/>
      <c r="K4" s="514" t="s">
        <v>801</v>
      </c>
      <c r="L4" s="2135"/>
      <c r="M4" s="2136"/>
      <c r="N4" s="2136"/>
      <c r="O4" s="2136"/>
      <c r="P4" s="3679" t="s">
        <v>802</v>
      </c>
      <c r="Q4" s="3680"/>
      <c r="R4" s="3685" t="s">
        <v>798</v>
      </c>
      <c r="S4" s="3686"/>
      <c r="T4" s="3685" t="s">
        <v>799</v>
      </c>
      <c r="U4" s="3686"/>
      <c r="V4" s="3672" t="s">
        <v>800</v>
      </c>
      <c r="W4" s="3672"/>
      <c r="X4" s="1568"/>
      <c r="Y4" s="3685" t="s">
        <v>802</v>
      </c>
      <c r="Z4" s="3686"/>
      <c r="AA4" s="3674" t="s">
        <v>798</v>
      </c>
      <c r="AB4" s="3675" t="s">
        <v>799</v>
      </c>
      <c r="AC4" s="3674" t="s">
        <v>800</v>
      </c>
    </row>
    <row r="5" spans="1:29" ht="15">
      <c r="A5" s="515"/>
      <c r="B5" s="516"/>
      <c r="C5" s="3693" t="s">
        <v>2930</v>
      </c>
      <c r="D5" s="3694"/>
      <c r="E5" s="3713" t="s">
        <v>2931</v>
      </c>
      <c r="F5" s="3714"/>
      <c r="G5" s="3693" t="s">
        <v>2932</v>
      </c>
      <c r="H5" s="3694"/>
      <c r="I5" s="3693" t="s">
        <v>2933</v>
      </c>
      <c r="J5" s="3694"/>
      <c r="K5" s="514"/>
      <c r="L5" s="2135"/>
      <c r="M5" s="2136"/>
      <c r="N5" s="2136"/>
      <c r="O5" s="2136"/>
      <c r="P5" s="3681"/>
      <c r="Q5" s="3682"/>
      <c r="R5" s="3687"/>
      <c r="S5" s="3688"/>
      <c r="T5" s="3687"/>
      <c r="U5" s="3688"/>
      <c r="V5" s="3672"/>
      <c r="W5" s="3672"/>
      <c r="X5" s="1568"/>
      <c r="Y5" s="3687"/>
      <c r="Z5" s="3688"/>
      <c r="AA5" s="3675"/>
      <c r="AB5" s="3675"/>
      <c r="AC5" s="3675"/>
    </row>
    <row r="6" spans="1:29" ht="15.75" thickBot="1">
      <c r="A6" s="517"/>
      <c r="B6" s="518"/>
      <c r="C6" s="3691" t="s">
        <v>2934</v>
      </c>
      <c r="D6" s="3692"/>
      <c r="E6" s="3709" t="s">
        <v>2934</v>
      </c>
      <c r="F6" s="3710"/>
      <c r="G6" s="3691" t="s">
        <v>2934</v>
      </c>
      <c r="H6" s="3692"/>
      <c r="I6" s="3691" t="s">
        <v>2934</v>
      </c>
      <c r="J6" s="3692"/>
      <c r="K6" s="514" t="s">
        <v>527</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528</v>
      </c>
      <c r="C7" s="519">
        <f>'数据-取费表'!B2</f>
        <v>43166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702" t="s">
        <v>529</v>
      </c>
      <c r="Q7" s="3704"/>
      <c r="R7" s="1569" t="s">
        <v>8</v>
      </c>
      <c r="S7" s="1570">
        <f t="shared" ref="S7:S14" si="0">F7</f>
        <v>0</v>
      </c>
      <c r="T7" s="1569" t="s">
        <v>8</v>
      </c>
      <c r="U7" s="1570">
        <f t="shared" ref="U7:U14" si="1">H7</f>
        <v>0</v>
      </c>
      <c r="V7" s="1569" t="s">
        <v>8</v>
      </c>
      <c r="W7" s="1570">
        <f t="shared" ref="W7:W14" si="2">J7</f>
        <v>0</v>
      </c>
      <c r="X7" s="1571"/>
      <c r="Y7" s="3702" t="s">
        <v>529</v>
      </c>
      <c r="Z7" s="3703"/>
      <c r="AA7" s="1572" t="e">
        <f>D7/F7</f>
        <v>#DIV/0!</v>
      </c>
      <c r="AB7" s="1572" t="e">
        <f>D7/H7</f>
        <v>#DIV/0!</v>
      </c>
      <c r="AC7" s="1572" t="e">
        <f>D7/J7</f>
        <v>#DIV/0!</v>
      </c>
    </row>
    <row r="8" spans="1:29" s="1220" customFormat="1" ht="15.75" thickBot="1">
      <c r="A8" s="2940"/>
      <c r="B8" s="2947"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702" t="s">
        <v>532</v>
      </c>
      <c r="Q8" s="3703"/>
      <c r="R8" s="1569" t="s">
        <v>8</v>
      </c>
      <c r="S8" s="1570">
        <f t="shared" si="0"/>
        <v>0</v>
      </c>
      <c r="T8" s="1569" t="s">
        <v>8</v>
      </c>
      <c r="U8" s="1570">
        <f t="shared" si="1"/>
        <v>0</v>
      </c>
      <c r="V8" s="1569" t="s">
        <v>8</v>
      </c>
      <c r="W8" s="1570">
        <f t="shared" si="2"/>
        <v>0</v>
      </c>
      <c r="X8" s="1571"/>
      <c r="Y8" s="3702" t="s">
        <v>532</v>
      </c>
      <c r="Z8" s="3703"/>
      <c r="AA8" s="1572" t="e">
        <f t="shared" ref="AA8:AA34" si="3">D8/F8</f>
        <v>#DIV/0!</v>
      </c>
      <c r="AB8" s="1572" t="e">
        <f t="shared" ref="AB8:AB34" si="4">D8/H8</f>
        <v>#DIV/0!</v>
      </c>
      <c r="AC8" s="1572" t="e">
        <f t="shared" ref="AC8:AC34" si="5">D8/J8</f>
        <v>#DIV/0!</v>
      </c>
    </row>
    <row r="9" spans="1:29" s="1220" customFormat="1" ht="15">
      <c r="A9" s="2941"/>
      <c r="B9" s="2948" t="s">
        <v>2758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71" t="s">
        <v>534</v>
      </c>
      <c r="Q9" s="1151" t="str">
        <f t="shared" ref="Q9:Q14" si="6">B9</f>
        <v>用途</v>
      </c>
      <c r="R9" s="1569" t="s">
        <v>8</v>
      </c>
      <c r="S9" s="1570">
        <f t="shared" si="0"/>
        <v>100</v>
      </c>
      <c r="T9" s="1569" t="s">
        <v>8</v>
      </c>
      <c r="U9" s="1570">
        <f t="shared" si="1"/>
        <v>100</v>
      </c>
      <c r="V9" s="1569" t="s">
        <v>8</v>
      </c>
      <c r="W9" s="1570">
        <f t="shared" si="2"/>
        <v>100</v>
      </c>
      <c r="X9" s="1571"/>
      <c r="Y9" s="3617" t="s">
        <v>535</v>
      </c>
      <c r="Z9" s="1150" t="str">
        <f t="shared" ref="Z9:Z14" si="7">Q9</f>
        <v>用途</v>
      </c>
      <c r="AA9" s="1572">
        <f t="shared" si="3"/>
        <v>1</v>
      </c>
      <c r="AB9" s="1572">
        <f t="shared" si="4"/>
        <v>1</v>
      </c>
      <c r="AC9" s="1572">
        <f t="shared" si="5"/>
        <v>1</v>
      </c>
    </row>
    <row r="10" spans="1:29" s="1338" customFormat="1" ht="27">
      <c r="A10" s="2942"/>
      <c r="B10" s="2947" t="s">
        <v>2759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71"/>
      <c r="Q11" s="1151">
        <f t="shared" si="6"/>
        <v>111</v>
      </c>
      <c r="R11" s="1569" t="s">
        <v>8</v>
      </c>
      <c r="S11" s="1570">
        <f t="shared" si="0"/>
        <v>100</v>
      </c>
      <c r="T11" s="1569" t="s">
        <v>8</v>
      </c>
      <c r="U11" s="1570">
        <f t="shared" si="1"/>
        <v>100</v>
      </c>
      <c r="V11" s="1569" t="s">
        <v>8</v>
      </c>
      <c r="W11" s="1570">
        <f t="shared" si="2"/>
        <v>100</v>
      </c>
      <c r="X11" s="1571"/>
      <c r="Y11" s="3617"/>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85.5">
      <c r="A14" s="2937"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705" t="s">
        <v>539</v>
      </c>
      <c r="Q14" s="1573" t="str">
        <f t="shared" si="6"/>
        <v>交通便捷度</v>
      </c>
      <c r="R14" s="1574" t="s">
        <v>8</v>
      </c>
      <c r="S14" s="1575">
        <f t="shared" si="0"/>
        <v>100</v>
      </c>
      <c r="T14" s="1574" t="s">
        <v>8</v>
      </c>
      <c r="U14" s="1575">
        <f t="shared" si="1"/>
        <v>100</v>
      </c>
      <c r="V14" s="1574" t="s">
        <v>8</v>
      </c>
      <c r="W14" s="1575">
        <f t="shared" si="2"/>
        <v>100</v>
      </c>
      <c r="X14" s="1568"/>
      <c r="Y14" s="3705"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706"/>
      <c r="Q15" s="1573"/>
      <c r="R15" s="1574"/>
      <c r="S15" s="1575"/>
      <c r="T15" s="1574"/>
      <c r="U15" s="1575"/>
      <c r="V15" s="1574"/>
      <c r="W15" s="1575"/>
      <c r="X15" s="1568"/>
      <c r="Y15" s="3706"/>
      <c r="Z15" s="1576"/>
      <c r="AA15" s="1577">
        <v>1</v>
      </c>
      <c r="AB15" s="1577">
        <v>1</v>
      </c>
      <c r="AC15" s="1577">
        <v>1</v>
      </c>
    </row>
    <row r="16" spans="1:29" ht="42.75">
      <c r="A16" s="532"/>
      <c r="B16" s="2629"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706"/>
      <c r="Q16" s="1573" t="str">
        <f>B16</f>
        <v>公共配套设施</v>
      </c>
      <c r="R16" s="1574" t="s">
        <v>8</v>
      </c>
      <c r="S16" s="1575">
        <f>F16</f>
        <v>100</v>
      </c>
      <c r="T16" s="1574" t="s">
        <v>8</v>
      </c>
      <c r="U16" s="1575">
        <f>H16</f>
        <v>100</v>
      </c>
      <c r="V16" s="1574" t="s">
        <v>8</v>
      </c>
      <c r="W16" s="1575">
        <f>J16</f>
        <v>100</v>
      </c>
      <c r="X16" s="1568"/>
      <c r="Y16" s="370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706"/>
      <c r="Q17" s="1573"/>
      <c r="R17" s="1574"/>
      <c r="S17" s="1575"/>
      <c r="T17" s="1574"/>
      <c r="U17" s="1575"/>
      <c r="V17" s="1574"/>
      <c r="W17" s="1575"/>
      <c r="X17" s="1568"/>
      <c r="Y17" s="3706"/>
      <c r="Z17" s="1576"/>
      <c r="AA17" s="1577">
        <v>1</v>
      </c>
      <c r="AB17" s="1577">
        <v>1</v>
      </c>
      <c r="AC17" s="1577">
        <v>1</v>
      </c>
    </row>
    <row r="18" spans="1:29" ht="28.5">
      <c r="A18" s="532"/>
      <c r="B18" s="2617"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706"/>
      <c r="Q18" s="2605" t="str">
        <f>B18</f>
        <v>基础设施水平</v>
      </c>
      <c r="R18" s="1574" t="s">
        <v>8</v>
      </c>
      <c r="S18" s="1575">
        <f>F18</f>
        <v>100</v>
      </c>
      <c r="T18" s="1574" t="s">
        <v>8</v>
      </c>
      <c r="U18" s="1575">
        <f>H18</f>
        <v>100</v>
      </c>
      <c r="V18" s="1574" t="s">
        <v>8</v>
      </c>
      <c r="W18" s="1575">
        <f>J18</f>
        <v>100</v>
      </c>
      <c r="X18" s="2607"/>
      <c r="Y18" s="3706"/>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706"/>
      <c r="Q19" s="2605"/>
      <c r="R19" s="1574"/>
      <c r="S19" s="1575"/>
      <c r="T19" s="1574"/>
      <c r="U19" s="1575"/>
      <c r="V19" s="1574"/>
      <c r="W19" s="1575"/>
      <c r="X19" s="2607"/>
      <c r="Y19" s="3706"/>
      <c r="Z19" s="2606"/>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706"/>
      <c r="Q20" s="1573" t="str">
        <f>B20</f>
        <v>自然及人文环境</v>
      </c>
      <c r="R20" s="1574" t="s">
        <v>8</v>
      </c>
      <c r="S20" s="1575">
        <f>F20</f>
        <v>100</v>
      </c>
      <c r="T20" s="1574" t="s">
        <v>8</v>
      </c>
      <c r="U20" s="1575">
        <f>H20</f>
        <v>100</v>
      </c>
      <c r="V20" s="1574" t="s">
        <v>8</v>
      </c>
      <c r="W20" s="1575">
        <f>J20</f>
        <v>100</v>
      </c>
      <c r="X20" s="1568"/>
      <c r="Y20" s="370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706"/>
      <c r="Q21" s="1573"/>
      <c r="R21" s="1574"/>
      <c r="S21" s="1575"/>
      <c r="T21" s="1574"/>
      <c r="U21" s="1575"/>
      <c r="V21" s="1574"/>
      <c r="W21" s="1575"/>
      <c r="X21" s="1568"/>
      <c r="Y21" s="3706"/>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706"/>
      <c r="Q22" s="1573" t="str">
        <f>B22</f>
        <v>楼层</v>
      </c>
      <c r="R22" s="1574" t="s">
        <v>8</v>
      </c>
      <c r="S22" s="1575">
        <f>F22</f>
        <v>100</v>
      </c>
      <c r="T22" s="1574" t="s">
        <v>8</v>
      </c>
      <c r="U22" s="1575">
        <f>H22</f>
        <v>100</v>
      </c>
      <c r="V22" s="1574" t="s">
        <v>8</v>
      </c>
      <c r="W22" s="1575">
        <f>J22</f>
        <v>100</v>
      </c>
      <c r="X22" s="1568"/>
      <c r="Y22" s="370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706"/>
      <c r="Q23" s="1573">
        <f>B23</f>
        <v>111</v>
      </c>
      <c r="R23" s="1574" t="s">
        <v>8</v>
      </c>
      <c r="S23" s="1575">
        <f>F23</f>
        <v>100</v>
      </c>
      <c r="T23" s="1574" t="s">
        <v>8</v>
      </c>
      <c r="U23" s="1575">
        <f>H23</f>
        <v>100</v>
      </c>
      <c r="V23" s="1574" t="s">
        <v>8</v>
      </c>
      <c r="W23" s="1575">
        <f>J23</f>
        <v>100</v>
      </c>
      <c r="X23" s="1568"/>
      <c r="Y23" s="370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706"/>
      <c r="Q24" s="1573">
        <f t="shared" ref="Q24:Q34" si="11">B24</f>
        <v>111</v>
      </c>
      <c r="R24" s="1574" t="s">
        <v>8</v>
      </c>
      <c r="S24" s="1575">
        <f>F24</f>
        <v>100</v>
      </c>
      <c r="T24" s="1574" t="s">
        <v>8</v>
      </c>
      <c r="U24" s="1575">
        <f>H24</f>
        <v>100</v>
      </c>
      <c r="V24" s="1574" t="s">
        <v>8</v>
      </c>
      <c r="W24" s="1575">
        <f>J24</f>
        <v>100</v>
      </c>
      <c r="X24" s="1568"/>
      <c r="Y24" s="370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706"/>
      <c r="Q25" s="1151">
        <f t="shared" si="11"/>
        <v>111</v>
      </c>
      <c r="R25" s="1569" t="s">
        <v>8</v>
      </c>
      <c r="S25" s="1570">
        <f>F25</f>
        <v>100</v>
      </c>
      <c r="T25" s="1569" t="s">
        <v>8</v>
      </c>
      <c r="U25" s="1570">
        <f>H25</f>
        <v>100</v>
      </c>
      <c r="V25" s="1569" t="s">
        <v>8</v>
      </c>
      <c r="W25" s="1570">
        <f>J25</f>
        <v>100</v>
      </c>
      <c r="X25" s="1571"/>
      <c r="Y25" s="3706"/>
      <c r="Z25" s="1150">
        <f>Q25</f>
        <v>111</v>
      </c>
      <c r="AA25" s="1577">
        <f>D25/F25</f>
        <v>1</v>
      </c>
      <c r="AB25" s="1577">
        <f>D25/H25</f>
        <v>1</v>
      </c>
      <c r="AC25" s="1577">
        <f>D25/J25</f>
        <v>1</v>
      </c>
    </row>
    <row r="26" spans="1:29" ht="15">
      <c r="A26" s="2934"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707"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08"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708"/>
      <c r="Q27" s="1606" t="str">
        <f t="shared" si="11"/>
        <v>成新率</v>
      </c>
      <c r="R27" s="1578" t="s">
        <v>8</v>
      </c>
      <c r="S27" s="1579" t="e">
        <f t="shared" si="12"/>
        <v>#N/A</v>
      </c>
      <c r="T27" s="1578" t="s">
        <v>8</v>
      </c>
      <c r="U27" s="1579" t="e">
        <f t="shared" si="13"/>
        <v>#N/A</v>
      </c>
      <c r="V27" s="1578" t="s">
        <v>8</v>
      </c>
      <c r="W27" s="1579" t="e">
        <f t="shared" si="14"/>
        <v>#N/A</v>
      </c>
      <c r="X27" s="1580"/>
      <c r="Y27" s="3708"/>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708"/>
      <c r="Q28" s="1573" t="str">
        <f t="shared" si="11"/>
        <v>物业等级</v>
      </c>
      <c r="R28" s="1574" t="s">
        <v>8</v>
      </c>
      <c r="S28" s="1575">
        <f t="shared" si="12"/>
        <v>100</v>
      </c>
      <c r="T28" s="1574" t="s">
        <v>8</v>
      </c>
      <c r="U28" s="1575">
        <f t="shared" si="13"/>
        <v>100</v>
      </c>
      <c r="V28" s="1574" t="s">
        <v>8</v>
      </c>
      <c r="W28" s="1575">
        <f t="shared" si="14"/>
        <v>100</v>
      </c>
      <c r="X28" s="1568"/>
      <c r="Y28" s="3708"/>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708"/>
      <c r="Q29" s="1573" t="str">
        <f t="shared" si="11"/>
        <v>有无电梯</v>
      </c>
      <c r="R29" s="1574" t="s">
        <v>8</v>
      </c>
      <c r="S29" s="1575">
        <f t="shared" si="12"/>
        <v>100</v>
      </c>
      <c r="T29" s="1574" t="s">
        <v>8</v>
      </c>
      <c r="U29" s="1575">
        <f t="shared" si="13"/>
        <v>100</v>
      </c>
      <c r="V29" s="1574" t="s">
        <v>8</v>
      </c>
      <c r="W29" s="1575">
        <f t="shared" si="14"/>
        <v>100</v>
      </c>
      <c r="X29" s="1568"/>
      <c r="Y29" s="3708"/>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708"/>
      <c r="Q30" s="1573" t="str">
        <f t="shared" si="11"/>
        <v>建筑面积</v>
      </c>
      <c r="R30" s="1574" t="s">
        <v>8</v>
      </c>
      <c r="S30" s="1575" t="e">
        <f t="shared" si="12"/>
        <v>#N/A</v>
      </c>
      <c r="T30" s="1574" t="s">
        <v>8</v>
      </c>
      <c r="U30" s="1575" t="e">
        <f t="shared" si="13"/>
        <v>#N/A</v>
      </c>
      <c r="V30" s="1574" t="s">
        <v>8</v>
      </c>
      <c r="W30" s="1575" t="e">
        <f t="shared" si="14"/>
        <v>#N/A</v>
      </c>
      <c r="X30" s="1568"/>
      <c r="Y30" s="3708"/>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708"/>
      <c r="Q31" s="1151" t="str">
        <f t="shared" si="11"/>
        <v>是否封闭</v>
      </c>
      <c r="R31" s="1569" t="s">
        <v>8</v>
      </c>
      <c r="S31" s="1570">
        <f t="shared" si="12"/>
        <v>100</v>
      </c>
      <c r="T31" s="1569" t="s">
        <v>8</v>
      </c>
      <c r="U31" s="1570">
        <f t="shared" si="13"/>
        <v>100</v>
      </c>
      <c r="V31" s="1569" t="s">
        <v>8</v>
      </c>
      <c r="W31" s="1570">
        <f t="shared" si="14"/>
        <v>100</v>
      </c>
      <c r="X31" s="1571"/>
      <c r="Y31" s="370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708" t="s">
        <v>549</v>
      </c>
      <c r="Q32" s="1573">
        <f t="shared" si="11"/>
        <v>111</v>
      </c>
      <c r="R32" s="1574" t="s">
        <v>8</v>
      </c>
      <c r="S32" s="1575">
        <f t="shared" si="12"/>
        <v>100</v>
      </c>
      <c r="T32" s="1574" t="s">
        <v>8</v>
      </c>
      <c r="U32" s="1575">
        <f t="shared" si="13"/>
        <v>100</v>
      </c>
      <c r="V32" s="1574" t="s">
        <v>8</v>
      </c>
      <c r="W32" s="1575">
        <f t="shared" si="14"/>
        <v>100</v>
      </c>
      <c r="X32" s="1568"/>
      <c r="Y32" s="3708"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708"/>
      <c r="Q33" s="1573">
        <f t="shared" si="11"/>
        <v>111</v>
      </c>
      <c r="R33" s="1574" t="s">
        <v>8</v>
      </c>
      <c r="S33" s="1575">
        <f t="shared" si="12"/>
        <v>100</v>
      </c>
      <c r="T33" s="1574" t="s">
        <v>8</v>
      </c>
      <c r="U33" s="1575">
        <f t="shared" si="13"/>
        <v>100</v>
      </c>
      <c r="V33" s="1574" t="s">
        <v>8</v>
      </c>
      <c r="W33" s="1575">
        <f t="shared" si="14"/>
        <v>100</v>
      </c>
      <c r="X33" s="1568"/>
      <c r="Y33" s="370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708"/>
      <c r="Q34" s="1573">
        <f t="shared" si="11"/>
        <v>111</v>
      </c>
      <c r="R34" s="1574" t="s">
        <v>8</v>
      </c>
      <c r="S34" s="1575">
        <f t="shared" si="12"/>
        <v>100</v>
      </c>
      <c r="T34" s="1574" t="s">
        <v>8</v>
      </c>
      <c r="U34" s="1575">
        <f t="shared" si="13"/>
        <v>100</v>
      </c>
      <c r="V34" s="1574" t="s">
        <v>8</v>
      </c>
      <c r="W34" s="1575">
        <f t="shared" si="14"/>
        <v>100</v>
      </c>
      <c r="X34" s="1568"/>
      <c r="Y34" s="3708"/>
      <c r="Z34" s="1576">
        <f t="shared" si="15"/>
        <v>111</v>
      </c>
      <c r="AA34" s="1577">
        <f t="shared" si="3"/>
        <v>1</v>
      </c>
      <c r="AB34" s="1577">
        <f t="shared" si="4"/>
        <v>1</v>
      </c>
      <c r="AC34" s="1577">
        <f t="shared" si="5"/>
        <v>1</v>
      </c>
    </row>
    <row r="35" spans="1:29" ht="15">
      <c r="A35" s="607" t="s">
        <v>735</v>
      </c>
      <c r="B35" s="887"/>
      <c r="C35" s="2653" t="s">
        <v>1</v>
      </c>
      <c r="D35" s="2654"/>
      <c r="E35" s="2655"/>
      <c r="F35" s="2656"/>
      <c r="G35" s="2657"/>
      <c r="H35" s="2658"/>
      <c r="I35" s="2655"/>
      <c r="J35" s="2658"/>
      <c r="K35" s="1612"/>
      <c r="L35" s="2146"/>
      <c r="M35" s="2147"/>
      <c r="N35" s="2136"/>
      <c r="O35" s="2147"/>
      <c r="P35" s="3671" t="str">
        <f>A35</f>
        <v>成交单价（元/平方米）</v>
      </c>
      <c r="Q35" s="3671"/>
      <c r="R35" s="3783">
        <f>E35</f>
        <v>0</v>
      </c>
      <c r="S35" s="3783"/>
      <c r="T35" s="3783">
        <f>G35</f>
        <v>0</v>
      </c>
      <c r="U35" s="3783"/>
      <c r="V35" s="3783">
        <f>I35</f>
        <v>0</v>
      </c>
      <c r="W35" s="3783"/>
      <c r="X35" s="1560"/>
      <c r="Y35" s="1582"/>
      <c r="Z35" s="1560"/>
      <c r="AA35" s="1560"/>
      <c r="AB35" s="1560"/>
      <c r="AC35" s="1560"/>
    </row>
    <row r="36" spans="1:29" ht="15.75" thickBot="1">
      <c r="A36" s="615" t="s">
        <v>2762</v>
      </c>
      <c r="B36" s="888"/>
      <c r="C36" s="2659" t="e">
        <f>R37</f>
        <v>#DIV/0!</v>
      </c>
      <c r="D36" s="2660"/>
      <c r="E36" s="2661" t="e">
        <f>R36</f>
        <v>#DIV/0!</v>
      </c>
      <c r="F36" s="2661"/>
      <c r="G36" s="2659" t="e">
        <f>T36</f>
        <v>#DIV/0!</v>
      </c>
      <c r="H36" s="2660"/>
      <c r="I36" s="2661" t="e">
        <f>V36</f>
        <v>#DIV/0!</v>
      </c>
      <c r="J36" s="2660"/>
      <c r="K36" s="1613"/>
      <c r="L36" s="2146"/>
      <c r="M36" s="2147"/>
      <c r="N36" s="2136"/>
      <c r="O36" s="2147"/>
      <c r="P36" s="3671" t="str">
        <f>A36</f>
        <v>比较价格（元/平方米）</v>
      </c>
      <c r="Q36" s="3671"/>
      <c r="R36" s="3783" t="e">
        <f>IF(F1="售价",ROUND(PRODUCT(R35,AA7:AA34),0),ROUND(PRODUCT(R35,AA7:AA34),1))</f>
        <v>#DIV/0!</v>
      </c>
      <c r="S36" s="3783"/>
      <c r="T36" s="3783" t="e">
        <f>IF(F1="售价",ROUND(PRODUCT(T35,AB7:AB34),0),ROUND(PRODUCT(T35,AB7:AB34),1))</f>
        <v>#DIV/0!</v>
      </c>
      <c r="U36" s="3783"/>
      <c r="V36" s="3783" t="e">
        <f>IF(F1="售价",ROUND(PRODUCT(V35,AC7:AC34),0),ROUND(PRODUCT(V35,AC7:AC34),1))</f>
        <v>#DIV/0!</v>
      </c>
      <c r="W36" s="3783"/>
      <c r="X36" s="1560"/>
      <c r="Y36" s="1560"/>
      <c r="Z36" s="1560"/>
      <c r="AA36" s="1560"/>
      <c r="AB36" s="1560"/>
      <c r="AC36" s="1560"/>
    </row>
    <row r="37" spans="1:29" ht="15.75" thickBot="1">
      <c r="A37" s="621" t="s">
        <v>2936</v>
      </c>
      <c r="B37" s="622"/>
      <c r="C37" s="2662" t="e">
        <f>R37</f>
        <v>#DIV/0!</v>
      </c>
      <c r="D37" s="2662"/>
      <c r="E37" s="2662"/>
      <c r="F37" s="2662"/>
      <c r="G37" s="2662"/>
      <c r="H37" s="2662"/>
      <c r="I37" s="2662"/>
      <c r="J37" s="2662"/>
      <c r="K37" s="1614"/>
      <c r="L37" s="2146"/>
      <c r="M37" s="2147"/>
      <c r="N37" s="2147"/>
      <c r="O37" s="2147"/>
      <c r="P37" s="3668" t="str">
        <f>A37</f>
        <v>估价对象XX用房的比较价格（楼面单价，元/平方米）</v>
      </c>
      <c r="Q37" s="3669"/>
      <c r="R37" s="3784" t="e">
        <f>IF(F1="售价",ROUND(AVERAGE(R36:V36),0),ROUND(AVERAGE(R36:V36),1))</f>
        <v>#DIV/0!</v>
      </c>
      <c r="S37" s="3784"/>
      <c r="T37" s="3784"/>
      <c r="U37" s="3784"/>
      <c r="V37" s="3784"/>
      <c r="W37" s="3784"/>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29" t="str">
        <f>YEAR(C7)&amp;"-"&amp;MONTH(C7)</f>
        <v>2018-3</v>
      </c>
      <c r="D46" s="2831">
        <f>EDATE(C46,-1)</f>
        <v>43132</v>
      </c>
      <c r="E46" s="2831">
        <f t="shared" ref="E46:O46" si="16">EDATE(D46,-1)</f>
        <v>43101</v>
      </c>
      <c r="F46" s="2831">
        <f t="shared" si="16"/>
        <v>43070</v>
      </c>
      <c r="G46" s="2831">
        <f t="shared" si="16"/>
        <v>43040</v>
      </c>
      <c r="H46" s="2831">
        <f t="shared" si="16"/>
        <v>43009</v>
      </c>
      <c r="I46" s="2831">
        <f t="shared" si="16"/>
        <v>42979</v>
      </c>
      <c r="J46" s="2831">
        <f t="shared" si="16"/>
        <v>42948</v>
      </c>
      <c r="K46" s="2831">
        <f t="shared" si="16"/>
        <v>42917</v>
      </c>
      <c r="L46" s="2831">
        <f t="shared" si="16"/>
        <v>42887</v>
      </c>
      <c r="M46" s="2831">
        <f t="shared" si="16"/>
        <v>42856</v>
      </c>
      <c r="N46" s="2831">
        <f t="shared" si="16"/>
        <v>42826</v>
      </c>
      <c r="O46" s="2831">
        <f t="shared" si="16"/>
        <v>42795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2560</v>
      </c>
      <c r="C65" s="2624" t="s">
        <v>2561</v>
      </c>
      <c r="D65" s="2624" t="s">
        <v>2562</v>
      </c>
      <c r="E65" s="2624" t="s">
        <v>2563</v>
      </c>
      <c r="F65" s="2624" t="s">
        <v>2564</v>
      </c>
      <c r="G65" s="2624" t="s">
        <v>2565</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2303</v>
      </c>
      <c r="C1" s="3797" t="s">
        <v>2304</v>
      </c>
      <c r="D1" s="3798"/>
      <c r="E1" s="3798"/>
      <c r="F1" s="3798"/>
      <c r="G1" s="3798"/>
      <c r="H1" s="3798"/>
      <c r="I1" s="3798"/>
      <c r="J1" s="3798"/>
      <c r="K1" s="3798"/>
      <c r="L1" s="3798"/>
      <c r="M1" s="3798"/>
      <c r="N1" s="3798"/>
      <c r="O1" s="3798"/>
      <c r="P1" s="3798"/>
      <c r="Q1" s="3798"/>
      <c r="R1" s="3798"/>
      <c r="S1" s="3799"/>
      <c r="T1" s="2236" t="s">
        <v>2305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2307</v>
      </c>
      <c r="B17" s="2280" t="s">
        <v>2308</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794" t="s">
        <v>20</v>
      </c>
      <c r="D22" s="3795"/>
      <c r="E22" s="3795"/>
      <c r="F22" s="3795"/>
      <c r="G22" s="3795"/>
      <c r="H22" s="3795"/>
      <c r="I22" s="3795"/>
      <c r="J22" s="3795"/>
      <c r="K22" s="3795"/>
      <c r="L22" s="3795"/>
      <c r="M22" s="3795"/>
      <c r="N22" s="3795"/>
      <c r="O22" s="3795"/>
      <c r="P22" s="3795"/>
      <c r="Q22" s="3796"/>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2790</v>
      </c>
      <c r="C1" s="3031">
        <f>项目基本情况!D3</f>
        <v>43166</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2821</v>
      </c>
      <c r="C2" s="3032">
        <f>'数据-取费表'!B22</f>
        <v>2</v>
      </c>
      <c r="D2" s="3027" t="s">
        <v>2791</v>
      </c>
      <c r="E2" s="3030">
        <f ca="1">INDIRECT("I"&amp;$I$1)/100</f>
        <v>4.7500000000000001E-2</v>
      </c>
      <c r="G2" s="2967"/>
      <c r="H2" s="2967"/>
      <c r="I2" s="2967" t="s">
        <v>2792</v>
      </c>
      <c r="K2" s="2967"/>
      <c r="L2" s="2967"/>
      <c r="M2" s="2967"/>
      <c r="N2" s="2967" t="s">
        <v>2793</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2823</v>
      </c>
      <c r="C3" s="3029">
        <f>'数据-取费表'!B19</f>
        <v>0</v>
      </c>
      <c r="D3" s="3027" t="s">
        <v>2791</v>
      </c>
      <c r="E3" s="3030">
        <f ca="1">INDIRECT("J"&amp;$J$1)/100</f>
        <v>0</v>
      </c>
      <c r="G3" s="2969" t="s">
        <v>2794</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2822</v>
      </c>
      <c r="C4" s="3030">
        <f ca="1">N4/100</f>
        <v>1.4999999999999999E-2</v>
      </c>
      <c r="G4" s="2975" t="s">
        <v>2795</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2796</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2797</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2798</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2799</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2800</v>
      </c>
      <c r="C10" s="2994"/>
      <c r="D10" s="2994"/>
      <c r="E10" s="2994"/>
      <c r="F10" s="2994"/>
      <c r="G10" s="2994"/>
      <c r="H10" s="2994"/>
      <c r="I10" s="2968"/>
      <c r="J10" s="2968"/>
      <c r="K10" s="2994"/>
      <c r="L10" s="2995" t="s">
        <v>2801</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2802</v>
      </c>
      <c r="C11" s="2999" t="s">
        <v>2803</v>
      </c>
      <c r="D11" s="3000" t="s">
        <v>2804</v>
      </c>
      <c r="E11" s="3001"/>
      <c r="F11" s="3000" t="s">
        <v>2805</v>
      </c>
      <c r="G11" s="3002"/>
      <c r="H11" s="3001"/>
      <c r="I11" s="3000" t="s">
        <v>2806</v>
      </c>
      <c r="J11" s="3001"/>
      <c r="K11" s="2997"/>
      <c r="L11" s="2998" t="s">
        <v>2802</v>
      </c>
      <c r="M11" s="2999" t="s">
        <v>2803</v>
      </c>
      <c r="N11" s="2998" t="s">
        <v>2807</v>
      </c>
      <c r="O11" s="3000" t="s">
        <v>2808</v>
      </c>
      <c r="P11" s="3002"/>
      <c r="Q11" s="3002"/>
      <c r="R11" s="3002"/>
      <c r="S11" s="3002"/>
      <c r="T11" s="3001"/>
      <c r="U11" s="3000" t="s">
        <v>2809</v>
      </c>
      <c r="V11" s="3002"/>
      <c r="W11" s="3001"/>
      <c r="X11" s="2998" t="s">
        <v>2810</v>
      </c>
      <c r="Y11" s="2998" t="s">
        <v>2811</v>
      </c>
      <c r="Z11" s="2998" t="s">
        <v>2812</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2813</v>
      </c>
      <c r="E12" s="3007" t="s">
        <v>2814</v>
      </c>
      <c r="F12" s="3007" t="s">
        <v>2815</v>
      </c>
      <c r="G12" s="3007" t="s">
        <v>2816</v>
      </c>
      <c r="H12" s="3007" t="s">
        <v>2798</v>
      </c>
      <c r="I12" s="3008" t="s">
        <v>2817</v>
      </c>
      <c r="J12" s="3008" t="s">
        <v>2817</v>
      </c>
      <c r="K12" s="3004"/>
      <c r="L12" s="3005"/>
      <c r="M12" s="3006"/>
      <c r="N12" s="3005"/>
      <c r="O12" s="3008" t="s">
        <v>2818</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2819</v>
      </c>
      <c r="C13" s="3012">
        <v>42301</v>
      </c>
      <c r="D13" s="3013">
        <v>4.3499999999999996</v>
      </c>
      <c r="E13" s="3013">
        <v>4.3499999999999996</v>
      </c>
      <c r="F13" s="3013">
        <v>4.75</v>
      </c>
      <c r="G13" s="3013">
        <v>4.75</v>
      </c>
      <c r="H13" s="3013">
        <v>4.9000000000000004</v>
      </c>
      <c r="I13" s="3013">
        <v>2.75</v>
      </c>
      <c r="J13" s="3013">
        <v>3.25</v>
      </c>
      <c r="K13" s="3010"/>
      <c r="L13" s="3011" t="s">
        <v>2819</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2820</v>
      </c>
      <c r="Y42" s="3017" t="s">
        <v>2820</v>
      </c>
      <c r="Z42" s="3017" t="s">
        <v>2820</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2820</v>
      </c>
      <c r="Y43" s="3017" t="s">
        <v>2820</v>
      </c>
      <c r="Z43" s="3017" t="s">
        <v>2820</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2820</v>
      </c>
      <c r="Y44" s="3017" t="s">
        <v>2820</v>
      </c>
      <c r="Z44" s="3017" t="s">
        <v>2820</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2820</v>
      </c>
      <c r="Y45" s="3017" t="s">
        <v>2820</v>
      </c>
      <c r="Z45" s="3017" t="s">
        <v>2820</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2820</v>
      </c>
      <c r="Y46" s="3017" t="s">
        <v>2820</v>
      </c>
      <c r="Z46" s="3017" t="s">
        <v>2820</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2820</v>
      </c>
      <c r="Y47" s="3017" t="s">
        <v>2820</v>
      </c>
      <c r="Z47" s="3017" t="s">
        <v>2820</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2820</v>
      </c>
      <c r="Y48" s="3017" t="s">
        <v>2820</v>
      </c>
      <c r="Z48" s="3017" t="s">
        <v>2820</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2820</v>
      </c>
      <c r="Y49" s="3017" t="s">
        <v>2820</v>
      </c>
      <c r="Z49" s="3017" t="s">
        <v>2820</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2820</v>
      </c>
      <c r="Y50" s="3017" t="s">
        <v>2820</v>
      </c>
      <c r="Z50" s="3017" t="s">
        <v>2820</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2820</v>
      </c>
      <c r="V51" s="3017" t="s">
        <v>2820</v>
      </c>
      <c r="W51" s="3017" t="s">
        <v>2820</v>
      </c>
      <c r="X51" s="3017" t="s">
        <v>2820</v>
      </c>
      <c r="Y51" s="3017" t="s">
        <v>2820</v>
      </c>
      <c r="Z51" s="3017" t="s">
        <v>2820</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2820</v>
      </c>
      <c r="J55" s="3017" t="s">
        <v>2820</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104884.85平方米。</v>
      </c>
    </row>
    <row r="7" spans="1:4" ht="93.75">
      <c r="A7" s="2900" t="s">
        <v>2750</v>
      </c>
    </row>
    <row r="8" spans="1:4" ht="18.75">
      <c r="A8" s="1796" t="s">
        <v>1906</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2018年3月7日（评估专业人员勘察现场之日）</v>
      </c>
    </row>
    <row r="12" spans="1:4" ht="18.75">
      <c r="A12" s="1799" t="s">
        <v>2025</v>
      </c>
    </row>
    <row r="13" spans="1:4" ht="18.75">
      <c r="A13" s="1793" t="s">
        <v>2071</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根据《国有土地使用证》[京朝国用（2009出）第0475号]，估价对象（分摊）出让国有建设用地使用权面积为99890.33平方米。根据《面积说明》，估价对象规划建筑面积为104884.85平方米。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2074</v>
      </c>
    </row>
    <row r="23" spans="1:1" ht="18.75">
      <c r="A23" s="2902" t="s">
        <v>2751</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7" t="s">
        <v>2038</v>
      </c>
      <c r="B1" s="3507"/>
      <c r="C1" s="3507"/>
      <c r="D1" s="3507"/>
      <c r="E1" s="3507"/>
      <c r="F1" s="3507"/>
      <c r="G1" s="3507"/>
      <c r="H1" s="3507"/>
      <c r="I1" s="3507"/>
      <c r="J1" s="3507"/>
      <c r="K1" s="3507"/>
      <c r="L1" s="3507"/>
      <c r="M1" s="3507"/>
      <c r="N1" s="3507"/>
      <c r="O1" s="3507"/>
      <c r="P1" s="3507"/>
      <c r="Q1" s="3507"/>
      <c r="R1" s="3507"/>
    </row>
    <row r="2" spans="1:18">
      <c r="A2" s="1809" t="s">
        <v>2040</v>
      </c>
      <c r="B2" s="1809"/>
      <c r="C2" s="1809"/>
      <c r="D2" s="1809"/>
      <c r="E2" s="1809"/>
      <c r="F2" s="1809"/>
      <c r="G2" s="1809"/>
      <c r="H2" s="1809"/>
      <c r="I2" s="1810"/>
      <c r="J2" s="1810"/>
      <c r="K2" s="1811" t="str">
        <f>"估价期日："&amp;TEXT(项目基本情况!D3,"yyyy年m月d日;;")</f>
        <v>估价期日：2018年3月7日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08" t="s">
        <v>2029</v>
      </c>
      <c r="B3" s="3508" t="s">
        <v>2733</v>
      </c>
      <c r="C3" s="3509" t="s">
        <v>2030</v>
      </c>
      <c r="D3" s="3508" t="s">
        <v>2737</v>
      </c>
      <c r="E3" s="3511" t="s">
        <v>2031</v>
      </c>
      <c r="F3" s="3511"/>
      <c r="G3" s="3511"/>
      <c r="H3" s="3511" t="s">
        <v>2032</v>
      </c>
      <c r="I3" s="3511"/>
      <c r="J3" s="3511"/>
      <c r="K3" s="3509" t="s">
        <v>2033</v>
      </c>
      <c r="L3" s="3509" t="s">
        <v>2034</v>
      </c>
      <c r="M3" s="3508" t="s">
        <v>2734</v>
      </c>
      <c r="N3" s="3510" t="str">
        <f>"（分摊）"&amp;项目基本情况!B16&amp;"国有建设用地使用权面积/㎡"</f>
        <v>（分摊）出让国有建设用地使用权面积/㎡</v>
      </c>
      <c r="O3" s="3508" t="s">
        <v>2063</v>
      </c>
      <c r="P3" s="3509" t="s">
        <v>2043</v>
      </c>
      <c r="Q3" s="3509" t="s">
        <v>2064</v>
      </c>
      <c r="R3" s="3509" t="s">
        <v>2035</v>
      </c>
    </row>
    <row r="4" spans="1:18" ht="36.75" customHeight="1">
      <c r="A4" s="3508"/>
      <c r="B4" s="3508"/>
      <c r="C4" s="3509"/>
      <c r="D4" s="3508"/>
      <c r="E4" s="2676" t="s">
        <v>2042</v>
      </c>
      <c r="F4" s="2676" t="s">
        <v>2746</v>
      </c>
      <c r="G4" s="2676" t="s">
        <v>2036</v>
      </c>
      <c r="H4" s="2676" t="s">
        <v>2037</v>
      </c>
      <c r="I4" s="2676" t="s">
        <v>2747</v>
      </c>
      <c r="J4" s="2676" t="s">
        <v>2036</v>
      </c>
      <c r="K4" s="3509"/>
      <c r="L4" s="3509"/>
      <c r="M4" s="3508"/>
      <c r="N4" s="3510"/>
      <c r="O4" s="3508"/>
      <c r="P4" s="3509"/>
      <c r="Q4" s="3509"/>
      <c r="R4" s="3509"/>
    </row>
    <row r="5" spans="1:18" ht="135" customHeight="1">
      <c r="A5" s="1945" t="s">
        <v>2657</v>
      </c>
      <c r="B5" s="2894" t="s">
        <v>2655</v>
      </c>
      <c r="C5" s="2675">
        <v>22</v>
      </c>
      <c r="D5" s="2674" t="s">
        <v>2656</v>
      </c>
      <c r="E5" s="1812" t="str">
        <f>项目基本情况!B12</f>
        <v>别墅式公寓、会所及其他配套设施</v>
      </c>
      <c r="F5" s="2674">
        <v>258</v>
      </c>
      <c r="G5" s="1812" t="str">
        <f>项目基本情况!B13</f>
        <v>住宅</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99890.33</v>
      </c>
      <c r="O5" s="1812">
        <f>项目基本情况!C21</f>
        <v>104884.84999999999</v>
      </c>
      <c r="P5" s="1812">
        <f ca="1">结果表!E42</f>
        <v>49181</v>
      </c>
      <c r="Q5" s="1812">
        <f ca="1">结果表!D42</f>
        <v>46839</v>
      </c>
      <c r="R5" s="1813">
        <f ca="1">结果表!C42</f>
        <v>491267</v>
      </c>
    </row>
    <row r="6" spans="1:18">
      <c r="A6" s="3504" t="str">
        <f>IF(项目基本情况!B9="市场价格","——","抵押价格")</f>
        <v>抵押价格</v>
      </c>
      <c r="B6" s="3505"/>
      <c r="C6" s="3505"/>
      <c r="D6" s="3505"/>
      <c r="E6" s="3505"/>
      <c r="F6" s="3505"/>
      <c r="G6" s="3505"/>
      <c r="H6" s="3505"/>
      <c r="I6" s="3505"/>
      <c r="J6" s="3505"/>
      <c r="K6" s="3505"/>
      <c r="L6" s="3505"/>
      <c r="M6" s="3505"/>
      <c r="N6" s="3505"/>
      <c r="O6" s="3505"/>
      <c r="P6" s="3505"/>
      <c r="Q6" s="3506"/>
      <c r="R6" s="1814" t="str">
        <f>结果表!O39</f>
        <v>——</v>
      </c>
    </row>
    <row r="7" spans="1:18">
      <c r="A7" s="3504" t="str">
        <f>IF(项目基本情况!B9="市场价格","——",IF(项目基本情况!E8="已注销及未注销","抵押担保权已注销时的抵押价格","——"))</f>
        <v>——</v>
      </c>
      <c r="B7" s="3505"/>
      <c r="C7" s="3505"/>
      <c r="D7" s="3505"/>
      <c r="E7" s="3505"/>
      <c r="F7" s="3505"/>
      <c r="G7" s="3505"/>
      <c r="H7" s="3505"/>
      <c r="I7" s="3505"/>
      <c r="J7" s="3505"/>
      <c r="K7" s="3505"/>
      <c r="L7" s="3505"/>
      <c r="M7" s="3505"/>
      <c r="N7" s="3505"/>
      <c r="O7" s="3505"/>
      <c r="P7" s="3505"/>
      <c r="Q7" s="3506"/>
      <c r="R7" s="1814" t="str">
        <f>结果表!O40</f>
        <v>——</v>
      </c>
    </row>
    <row r="8" spans="1:18">
      <c r="A8" s="3504">
        <f>IF(项目基本情况!B9="市场价格","——",项目基本情况!E9)</f>
        <v>0</v>
      </c>
      <c r="B8" s="3505"/>
      <c r="C8" s="3505"/>
      <c r="D8" s="3505"/>
      <c r="E8" s="3505"/>
      <c r="F8" s="3505"/>
      <c r="G8" s="3505"/>
      <c r="H8" s="3505"/>
      <c r="I8" s="3505"/>
      <c r="J8" s="3505"/>
      <c r="K8" s="3505"/>
      <c r="L8" s="3505"/>
      <c r="M8" s="3505"/>
      <c r="N8" s="3505"/>
      <c r="O8" s="3505"/>
      <c r="P8" s="3505"/>
      <c r="Q8" s="3506"/>
      <c r="R8" s="1814" t="str">
        <f>结果表!O41</f>
        <v>——</v>
      </c>
    </row>
    <row r="9" spans="1:18">
      <c r="A9" s="1815" t="s">
        <v>2041</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2028</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13" t="s">
        <v>2065</v>
      </c>
      <c r="B1" s="3513"/>
      <c r="C1" s="3513"/>
      <c r="D1" s="3513"/>
    </row>
    <row r="2" spans="1:4" ht="47.25" customHeight="1">
      <c r="A2" s="3514" t="str">
        <f>"1.权利限制："&amp;项目基本情况!L24&amp;"未设定租赁等其他他项权利。"</f>
        <v>1.权利限制：根据估价对象《国有土地使用权》复印件、，截至估价期日，估价对象抵押权未见登记。未设定租赁等其他他项权利。</v>
      </c>
      <c r="B2" s="3514"/>
      <c r="C2" s="3514"/>
      <c r="D2" s="3514"/>
    </row>
    <row r="3" spans="1:4" ht="48" customHeight="1">
      <c r="A3" s="351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13"/>
      <c r="C3" s="3513"/>
      <c r="D3" s="3513"/>
    </row>
    <row r="4" spans="1:4" ht="36.75" customHeight="1">
      <c r="A4" s="3513" t="str">
        <f>"3.估价规划限制条件：详见"&amp;项目基本情况!E21&amp;"。"</f>
        <v>3.估价规划限制条件：详见《面积说明》。</v>
      </c>
      <c r="B4" s="3513"/>
      <c r="C4" s="3513"/>
      <c r="D4" s="3513"/>
    </row>
    <row r="5" spans="1:4">
      <c r="A5" s="3512" t="s">
        <v>2066</v>
      </c>
      <c r="B5" s="3512"/>
      <c r="C5" s="3512"/>
      <c r="D5" s="3512"/>
    </row>
    <row r="6" spans="1:4">
      <c r="A6" s="3513" t="s">
        <v>2044</v>
      </c>
      <c r="B6" s="3513"/>
      <c r="C6" s="3513"/>
      <c r="D6" s="3513"/>
    </row>
    <row r="7" spans="1:4" ht="33" customHeight="1">
      <c r="A7" s="3513" t="s">
        <v>2577</v>
      </c>
      <c r="B7" s="3513"/>
      <c r="C7" s="3513"/>
      <c r="D7" s="3513"/>
    </row>
    <row r="8" spans="1:4" ht="32.25" customHeight="1">
      <c r="A8" s="35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3"/>
      <c r="C8" s="3513"/>
      <c r="D8" s="3513"/>
    </row>
    <row r="9" spans="1:4" ht="33.75" customHeight="1">
      <c r="A9" s="35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3"/>
      <c r="C9" s="3513"/>
      <c r="D9" s="3513"/>
    </row>
    <row r="10" spans="1:4">
      <c r="A10" s="3513" t="str">
        <f>IF(项目基本情况!B8="抵押","4.估价师所知悉的法定优先受偿款情况为：","——")</f>
        <v>4.估价师所知悉的法定优先受偿款情况为：</v>
      </c>
      <c r="B10" s="3513"/>
      <c r="C10" s="3513"/>
      <c r="D10" s="3513"/>
    </row>
    <row r="11" spans="1:4" ht="37.5" customHeight="1">
      <c r="A11" s="3515" t="str">
        <f>IF(项目基本情况!B8="抵押","（1）"&amp;CONCATENATE(项目基本情况!L24,项目基本情况!L25,项目基本情况!L26),"——")</f>
        <v>（1）根据估价对象《国有土地使用权》复印件、，截至估价期日，估价对象抵押权未见登记。</v>
      </c>
      <c r="B11" s="3515"/>
      <c r="C11" s="3515"/>
      <c r="D11" s="3515"/>
    </row>
    <row r="12" spans="1:4" ht="168" customHeight="1">
      <c r="A12" s="3512" t="s">
        <v>2068</v>
      </c>
      <c r="B12" s="3512"/>
      <c r="C12" s="3512"/>
      <c r="D12" s="3512"/>
    </row>
    <row r="13" spans="1:4">
      <c r="A13" s="3516" t="s">
        <v>2748</v>
      </c>
      <c r="B13" s="3516"/>
      <c r="C13" s="3516"/>
      <c r="D13" s="3516"/>
    </row>
    <row r="14" spans="1:4">
      <c r="A14" s="3515" t="str">
        <f>IF(项目基本情况!B8="抵押","综上，"&amp;结果表!K47,"——")</f>
        <v>综上，本次评估不存在估价师知悉的法定优先受偿款</v>
      </c>
      <c r="B14" s="3515"/>
      <c r="C14" s="3515"/>
      <c r="D14" s="3515"/>
    </row>
    <row r="15" spans="1:4" ht="58.5" customHeight="1">
      <c r="A15" s="35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3"/>
      <c r="C15" s="3513"/>
      <c r="D15" s="3513"/>
    </row>
    <row r="16" spans="1:4" ht="70.5" customHeight="1">
      <c r="A16" s="35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3"/>
      <c r="C16" s="3513"/>
      <c r="D16" s="3513"/>
    </row>
    <row r="17" spans="1:4">
      <c r="A17" s="3513" t="s">
        <v>2704</v>
      </c>
      <c r="B17" s="3513"/>
      <c r="C17" s="3513"/>
      <c r="D17" s="3513"/>
    </row>
    <row r="18" spans="1:4">
      <c r="A18" s="3513" t="s">
        <v>2696</v>
      </c>
      <c r="B18" s="3513"/>
      <c r="C18" s="3513"/>
      <c r="D18" s="3513"/>
    </row>
    <row r="19" spans="1:4">
      <c r="A19" s="2895" t="s">
        <v>2697</v>
      </c>
      <c r="B19" s="2895" t="s">
        <v>2698</v>
      </c>
      <c r="C19" s="2895" t="s">
        <v>2699</v>
      </c>
      <c r="D19" s="2895" t="s">
        <v>2700</v>
      </c>
    </row>
    <row r="20" spans="1:4">
      <c r="A20" s="2895" t="str">
        <f>项目基本情况!B4</f>
        <v>欧红伟</v>
      </c>
      <c r="B20" s="2895">
        <f ca="1">项目基本情况!C4</f>
        <v>2000110082</v>
      </c>
      <c r="C20" s="2897"/>
      <c r="D20" s="1802" t="s">
        <v>2705</v>
      </c>
    </row>
    <row r="21" spans="1:4">
      <c r="A21" s="2895" t="str">
        <f>项目基本情况!D4</f>
        <v>梁津</v>
      </c>
      <c r="B21" s="2895">
        <f ca="1">项目基本情况!E4</f>
        <v>96010014</v>
      </c>
      <c r="C21" s="2897"/>
      <c r="D21" s="1802" t="s">
        <v>2706</v>
      </c>
    </row>
    <row r="23" spans="1:4">
      <c r="A23" s="3513" t="s">
        <v>2701</v>
      </c>
      <c r="B23" s="3513"/>
      <c r="C23" s="3513"/>
      <c r="D23" s="3513"/>
    </row>
    <row r="24" spans="1:4">
      <c r="A24" s="2895" t="s">
        <v>2697</v>
      </c>
      <c r="B24" s="2895" t="s">
        <v>2702</v>
      </c>
      <c r="C24" s="2895" t="s">
        <v>2699</v>
      </c>
      <c r="D24" s="2895" t="s">
        <v>2700</v>
      </c>
    </row>
    <row r="25" spans="1:4">
      <c r="A25" s="2898" t="s">
        <v>2703</v>
      </c>
      <c r="B25" s="2895" t="s">
        <v>951</v>
      </c>
      <c r="C25" s="2897"/>
      <c r="D25" s="1802" t="s">
        <v>2706</v>
      </c>
    </row>
    <row r="29" spans="1:4">
      <c r="D29" s="2896" t="s">
        <v>2039</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524" t="s">
        <v>53</v>
      </c>
      <c r="B15" s="3525" t="s">
        <v>845</v>
      </c>
      <c r="C15" s="3521"/>
    </row>
    <row r="16" spans="1:7" ht="14.25">
      <c r="A16" s="3524"/>
      <c r="B16" s="3522" t="s">
        <v>54</v>
      </c>
      <c r="C16" s="1172" t="s">
        <v>53</v>
      </c>
    </row>
    <row r="17" spans="1:3" ht="14.25">
      <c r="A17" s="3524"/>
      <c r="B17" s="3522"/>
      <c r="C17" s="1172" t="s">
        <v>55</v>
      </c>
    </row>
    <row r="18" spans="1:3" ht="14.25">
      <c r="A18" s="3524"/>
      <c r="B18" s="3522"/>
      <c r="C18" s="1172" t="s">
        <v>56</v>
      </c>
    </row>
    <row r="19" spans="1:3" ht="14.25">
      <c r="A19" s="3524"/>
      <c r="B19" s="3520" t="s">
        <v>57</v>
      </c>
      <c r="C19" s="3521"/>
    </row>
    <row r="20" spans="1:3" ht="14.25">
      <c r="A20" s="1173" t="s">
        <v>58</v>
      </c>
      <c r="B20" s="1174"/>
      <c r="C20" s="1175"/>
    </row>
    <row r="21" spans="1:3" ht="14.25">
      <c r="A21" s="3523" t="s">
        <v>59</v>
      </c>
      <c r="B21" s="3520" t="s">
        <v>60</v>
      </c>
      <c r="C21" s="3521"/>
    </row>
    <row r="22" spans="1:3" ht="14.25">
      <c r="A22" s="3523"/>
      <c r="B22" s="3520" t="s">
        <v>61</v>
      </c>
      <c r="C22" s="3521"/>
    </row>
    <row r="23" spans="1:3" ht="14.25">
      <c r="A23" s="3523"/>
      <c r="B23" s="3520" t="s">
        <v>62</v>
      </c>
      <c r="C23" s="3521"/>
    </row>
    <row r="24" spans="1:3" ht="14.25">
      <c r="A24" s="3523"/>
      <c r="B24" s="3526" t="s">
        <v>63</v>
      </c>
      <c r="C24" s="1176" t="s">
        <v>836</v>
      </c>
    </row>
    <row r="25" spans="1:3" ht="14.25">
      <c r="A25" s="3523"/>
      <c r="B25" s="3527"/>
      <c r="C25" s="1176" t="s">
        <v>837</v>
      </c>
    </row>
    <row r="26" spans="1:3" ht="14.25">
      <c r="A26" s="3523"/>
      <c r="B26" s="3527"/>
      <c r="C26" s="1176" t="s">
        <v>838</v>
      </c>
    </row>
    <row r="27" spans="1:3" ht="14.25">
      <c r="A27" s="3523"/>
      <c r="B27" s="3527"/>
      <c r="C27" s="1176" t="s">
        <v>839</v>
      </c>
    </row>
    <row r="28" spans="1:3" ht="14.25">
      <c r="A28" s="3523"/>
      <c r="B28" s="3527"/>
      <c r="C28" s="1176" t="s">
        <v>840</v>
      </c>
    </row>
    <row r="29" spans="1:3" ht="14.25">
      <c r="A29" s="3523"/>
      <c r="B29" s="3527"/>
      <c r="C29" s="1176" t="s">
        <v>841</v>
      </c>
    </row>
    <row r="30" spans="1:3" ht="14.25">
      <c r="A30" s="3523"/>
      <c r="B30" s="3527"/>
      <c r="C30" s="1176" t="s">
        <v>842</v>
      </c>
    </row>
    <row r="31" spans="1:3" ht="14.25">
      <c r="A31" s="3523"/>
      <c r="B31" s="3527"/>
      <c r="C31" s="1176" t="s">
        <v>843</v>
      </c>
    </row>
    <row r="32" spans="1:3" ht="14.25">
      <c r="A32" s="3523"/>
      <c r="B32" s="3527"/>
      <c r="C32" s="1176" t="s">
        <v>1646</v>
      </c>
    </row>
    <row r="33" spans="1:3" ht="14.25">
      <c r="A33" s="3523"/>
      <c r="B33" s="3517" t="s">
        <v>1652</v>
      </c>
      <c r="C33" s="1176" t="s">
        <v>1647</v>
      </c>
    </row>
    <row r="34" spans="1:3" ht="14.25">
      <c r="A34" s="3523"/>
      <c r="B34" s="3518"/>
      <c r="C34" s="1181" t="s">
        <v>1648</v>
      </c>
    </row>
    <row r="35" spans="1:3" ht="14.25">
      <c r="A35" s="3523"/>
      <c r="B35" s="3518"/>
      <c r="C35" s="1182" t="s">
        <v>1649</v>
      </c>
    </row>
    <row r="36" spans="1:3" ht="14.25">
      <c r="A36" s="3523"/>
      <c r="B36" s="3518"/>
      <c r="C36" s="1182" t="s">
        <v>1650</v>
      </c>
    </row>
    <row r="37" spans="1:3" ht="14.25">
      <c r="A37" s="3523"/>
      <c r="B37" s="3519"/>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43178</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33">
        <v>43849</v>
      </c>
      <c r="D4" s="2345" t="s">
        <v>1914</v>
      </c>
      <c r="E4" s="2345">
        <f ca="1">IF(F4&lt;B2,"已过期",96010014)</f>
        <v>96010014</v>
      </c>
      <c r="F4" s="3034">
        <v>47118</v>
      </c>
    </row>
    <row r="5" spans="1:6" ht="20.25" customHeight="1">
      <c r="A5" s="2345" t="s">
        <v>1915</v>
      </c>
      <c r="B5" s="2345">
        <f ca="1">IF(C5&lt;B2,"已过期",1119970074)</f>
        <v>1119970074</v>
      </c>
      <c r="C5" s="3033">
        <v>43849</v>
      </c>
      <c r="D5" s="2345" t="s">
        <v>1915</v>
      </c>
      <c r="E5" s="2345">
        <f ca="1">IF(F5&lt;B2,"已过期",2002110027)</f>
        <v>2002110027</v>
      </c>
      <c r="F5" s="3034">
        <v>46752</v>
      </c>
    </row>
    <row r="6" spans="1:6" ht="20.25" customHeight="1">
      <c r="A6" s="2345" t="s">
        <v>1916</v>
      </c>
      <c r="B6" s="2345">
        <f ca="1">IF(C6&lt;B2,"已过期",1119970111)</f>
        <v>1119970111</v>
      </c>
      <c r="C6" s="3033">
        <v>43849</v>
      </c>
      <c r="D6" s="2345" t="s">
        <v>1916</v>
      </c>
      <c r="E6" s="2345">
        <f ca="1">IF(F6&lt;B2,"已过期",94010078)</f>
        <v>94010078</v>
      </c>
      <c r="F6" s="3034">
        <v>46387</v>
      </c>
    </row>
    <row r="7" spans="1:6" ht="20.25" customHeight="1">
      <c r="A7" s="2345" t="s">
        <v>1917</v>
      </c>
      <c r="B7" s="2345">
        <f ca="1">IF(C7&lt;B2,"已过期",1120050019)</f>
        <v>1120050019</v>
      </c>
      <c r="C7" s="3033">
        <v>43359</v>
      </c>
      <c r="D7" s="2345" t="s">
        <v>1917</v>
      </c>
      <c r="E7" s="2345">
        <f ca="1">IF(F7&lt;B2,"已过期",2002110030)</f>
        <v>2002110030</v>
      </c>
      <c r="F7" s="3034">
        <v>46387</v>
      </c>
    </row>
    <row r="8" spans="1:6" ht="20.25" customHeight="1">
      <c r="A8" s="2345" t="s">
        <v>1918</v>
      </c>
      <c r="B8" s="2345">
        <f ca="1">IF(C8&lt;B2,"已过期",1120000080)</f>
        <v>1120000080</v>
      </c>
      <c r="C8" s="3033">
        <v>43849</v>
      </c>
      <c r="D8" s="2345" t="s">
        <v>1918</v>
      </c>
      <c r="E8" s="2345">
        <f ca="1">IF(F8&lt;B2,"已过期",2000110082)</f>
        <v>2000110082</v>
      </c>
      <c r="F8" s="3034">
        <v>46387</v>
      </c>
    </row>
    <row r="9" spans="1:6" ht="20.25" customHeight="1">
      <c r="A9" s="2345" t="s">
        <v>1919</v>
      </c>
      <c r="B9" s="2345">
        <f ca="1">IF(C9&lt;B2,"已过期",1419970001)</f>
        <v>1419970001</v>
      </c>
      <c r="C9" s="3033">
        <v>43867</v>
      </c>
      <c r="D9" s="2345" t="s">
        <v>1919</v>
      </c>
      <c r="E9" s="2345">
        <f ca="1">IF(F9&lt;B2,"已过期",2002110125)</f>
        <v>2002110125</v>
      </c>
      <c r="F9" s="3034">
        <v>47118</v>
      </c>
    </row>
    <row r="10" spans="1:6" ht="20.25" customHeight="1">
      <c r="A10" s="2345" t="s">
        <v>1920</v>
      </c>
      <c r="B10" s="2345">
        <f ca="1">IF(C10&lt;B2,"已过期",1120060040)</f>
        <v>1120060040</v>
      </c>
      <c r="C10" s="3033">
        <v>43483</v>
      </c>
      <c r="D10" s="2345" t="s">
        <v>1920</v>
      </c>
      <c r="E10" s="2345">
        <f ca="1">IF(F10&lt;B2,"已过期",2004110096)</f>
        <v>2004110096</v>
      </c>
      <c r="F10" s="3034">
        <v>47118</v>
      </c>
    </row>
    <row r="11" spans="1:6" ht="20.25" customHeight="1">
      <c r="A11" s="2345" t="s">
        <v>1921</v>
      </c>
      <c r="B11" s="2345">
        <f ca="1">IF(C11&lt;B2,"已过期",1120100036)</f>
        <v>1120100036</v>
      </c>
      <c r="C11" s="3033">
        <v>43622</v>
      </c>
      <c r="D11" s="2345" t="s">
        <v>1921</v>
      </c>
      <c r="E11" s="2345">
        <f ca="1">IF(F11&lt;B2,"已过期",2010110070)</f>
        <v>2010110070</v>
      </c>
      <c r="F11" s="3034">
        <v>47907</v>
      </c>
    </row>
    <row r="12" spans="1:6" ht="20.25" customHeight="1">
      <c r="A12" s="2345"/>
      <c r="B12" s="2345"/>
      <c r="C12" s="3033"/>
      <c r="D12" s="2345"/>
      <c r="E12" s="2345"/>
      <c r="F12" s="2345"/>
    </row>
    <row r="13" spans="1:6" ht="20.25" customHeight="1">
      <c r="A13" s="2345" t="s">
        <v>1922</v>
      </c>
      <c r="B13" s="2345">
        <f ca="1">IF(C13&lt;B2,"已过期",1120070131)</f>
        <v>1120070131</v>
      </c>
      <c r="C13" s="3033">
        <v>43814</v>
      </c>
      <c r="D13" s="2345" t="s">
        <v>1922</v>
      </c>
      <c r="E13" s="2345">
        <v>2014110011</v>
      </c>
      <c r="F13" s="3034">
        <v>49302</v>
      </c>
    </row>
    <row r="14" spans="1:6" ht="20.25" customHeight="1">
      <c r="A14" s="2345" t="s">
        <v>1923</v>
      </c>
      <c r="B14" s="2345">
        <f ca="1">IF(C14&lt;B2,"已过期",1120130020)</f>
        <v>1120130020</v>
      </c>
      <c r="C14" s="3033">
        <v>43622</v>
      </c>
      <c r="D14" s="2345"/>
      <c r="E14" s="2345"/>
      <c r="F14" s="2345"/>
    </row>
    <row r="15" spans="1:6" ht="20.25" customHeight="1">
      <c r="A15" s="2345" t="s">
        <v>2576</v>
      </c>
      <c r="B15" s="2345">
        <v>1120070085</v>
      </c>
      <c r="C15" s="3033">
        <v>43814</v>
      </c>
      <c r="D15" s="2345" t="s">
        <v>2576</v>
      </c>
      <c r="E15" s="2345">
        <v>2004110128</v>
      </c>
      <c r="F15" s="3034">
        <v>47118</v>
      </c>
    </row>
    <row r="16" spans="1:6" ht="20.25" customHeight="1">
      <c r="A16" s="2345" t="s">
        <v>1924</v>
      </c>
      <c r="B16" s="2345">
        <f ca="1">IF(C16&lt;B2,"已过期",1120140022)</f>
        <v>1120140022</v>
      </c>
      <c r="C16" s="3033">
        <v>44029</v>
      </c>
      <c r="D16" s="2345" t="s">
        <v>1924</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1925</v>
      </c>
      <c r="E21" s="2345">
        <f ca="1">IF(F21&lt;B2,"已过期",2011110090)</f>
        <v>2011110090</v>
      </c>
      <c r="F21" s="3034">
        <v>48302</v>
      </c>
    </row>
    <row r="22" spans="1:7" ht="20.25" customHeight="1">
      <c r="A22" s="2345" t="s">
        <v>1926</v>
      </c>
      <c r="B22" s="2345">
        <f ca="1">IF(C22&lt;B2,"已过期",1120020033)</f>
        <v>1120020033</v>
      </c>
      <c r="C22" s="3033">
        <v>43304</v>
      </c>
      <c r="D22" s="2345" t="s">
        <v>1926</v>
      </c>
      <c r="E22" s="2345">
        <f ca="1">IF(F22&lt;B2,"已过期",2000110137)</f>
        <v>2000110137</v>
      </c>
      <c r="F22" s="3034">
        <v>46387</v>
      </c>
    </row>
    <row r="23" spans="1:7" ht="20.25" customHeight="1">
      <c r="A23" s="2345" t="s">
        <v>1927</v>
      </c>
      <c r="B23" s="2345">
        <f ca="1">IF(C23&lt;B2,"已过期",1120130048)</f>
        <v>1120130048</v>
      </c>
      <c r="C23" s="3033">
        <v>43686</v>
      </c>
      <c r="D23" s="2345"/>
      <c r="E23" s="2345"/>
      <c r="F23" s="2345"/>
    </row>
    <row r="24" spans="1:7" s="2349" customFormat="1" ht="20.25" customHeight="1">
      <c r="A24" s="2347" t="s">
        <v>2053</v>
      </c>
      <c r="B24" s="2347" t="s">
        <v>2053</v>
      </c>
      <c r="C24" s="3033"/>
      <c r="D24" s="3035" t="s">
        <v>2053</v>
      </c>
      <c r="E24" s="2347" t="s">
        <v>2053</v>
      </c>
      <c r="F24" s="2348"/>
    </row>
    <row r="25" spans="1:7" ht="20.25" customHeight="1">
      <c r="A25" s="3528" t="s">
        <v>1928</v>
      </c>
      <c r="B25" s="3528"/>
      <c r="C25" s="3528"/>
      <c r="D25" s="3528"/>
      <c r="E25" s="3528"/>
      <c r="F25" s="3528"/>
      <c r="G25" s="3528"/>
    </row>
    <row r="26" spans="1:7" ht="20.25" customHeight="1">
      <c r="A26" s="3529" t="s">
        <v>1929</v>
      </c>
      <c r="B26" s="3529"/>
      <c r="C26" s="3529"/>
      <c r="D26" s="3529" t="s">
        <v>1930</v>
      </c>
      <c r="E26" s="3529"/>
      <c r="F26" s="3529"/>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141</vt:i4>
      </vt:variant>
    </vt:vector>
  </HeadingPairs>
  <TitlesOfParts>
    <vt:vector size="18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不动产比较法-合院</vt:lpstr>
      <vt:lpstr>不动产比较法-叠拼</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'不动产比较法-合院'!住宅朝向</vt:lpstr>
      <vt:lpstr>住宅朝向</vt:lpstr>
      <vt:lpstr>'不动产比较法-合院'!住宅房型</vt:lpstr>
      <vt:lpstr>住宅房型</vt:lpstr>
      <vt:lpstr>'不动产比较法-合院'!住宅公共部分装修</vt:lpstr>
      <vt:lpstr>住宅公共部分装修</vt:lpstr>
      <vt:lpstr>'不动产比较法-合院'!住宅基础设施水平</vt:lpstr>
      <vt:lpstr>住宅基础设施水平</vt:lpstr>
      <vt:lpstr>'不动产比较法-合院'!住宅建筑结构</vt:lpstr>
      <vt:lpstr>住宅建筑结构</vt:lpstr>
      <vt:lpstr>'不动产比较法-合院'!住宅建筑类型</vt:lpstr>
      <vt:lpstr>住宅建筑类型</vt:lpstr>
      <vt:lpstr>'不动产比较法-合院'!住宅建筑品质</vt:lpstr>
      <vt:lpstr>住宅建筑品质</vt:lpstr>
      <vt:lpstr>'不动产比较法-合院'!住宅交易情况</vt:lpstr>
      <vt:lpstr>住宅交易情况</vt:lpstr>
      <vt:lpstr>'不动产比较法-合院'!住宅楼层</vt:lpstr>
      <vt:lpstr>住宅楼层</vt:lpstr>
      <vt:lpstr>'不动产比较法-合院'!住宅内部装修</vt:lpstr>
      <vt:lpstr>住宅内部装修</vt:lpstr>
      <vt:lpstr>'不动产比较法-合院'!住宅物业管理</vt:lpstr>
      <vt:lpstr>住宅物业管理</vt:lpstr>
      <vt:lpstr>'不动产比较法-合院'!住宅用途</vt:lpstr>
      <vt:lpstr>住宅用途</vt:lpstr>
      <vt:lpstr>'不动产比较法-合院'!住宅主力户型面积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2018-03-19T06:51:29Z</dcterms:modified>
</cp:coreProperties>
</file>