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E000278半壁店大街-陈宁北京银行-之前年租金25万，目前空置\"/>
    </mc:Choice>
  </mc:AlternateContent>
  <xr:revisionPtr revIDLastSave="0" documentId="13_ncr:1_{4AA57581-9523-4B34-B006-3BD0294578CA}"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面积明细" sheetId="80" r:id="rId35"/>
    <sheet name="案例"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93" i="33" l="1"/>
  <c r="F92" i="33"/>
  <c r="E93" i="33"/>
  <c r="E92" i="33"/>
  <c r="D93" i="33"/>
  <c r="D92" i="33"/>
  <c r="C93" i="33"/>
  <c r="C92" i="33"/>
  <c r="O37" i="33"/>
  <c r="O33" i="33"/>
  <c r="O34" i="33"/>
  <c r="O35" i="33"/>
  <c r="N41" i="33"/>
  <c r="O36" i="33"/>
  <c r="C19" i="6"/>
  <c r="B14" i="74"/>
  <c r="I14" i="33"/>
  <c r="I13" i="33"/>
  <c r="G36" i="33"/>
  <c r="E36" i="33"/>
  <c r="C36" i="33"/>
  <c r="I47" i="33"/>
  <c r="G47" i="33"/>
  <c r="E47" i="33"/>
  <c r="I33" i="33"/>
  <c r="G33" i="33"/>
  <c r="E33" i="33"/>
  <c r="C33" i="33"/>
  <c r="N35" i="33"/>
  <c r="E104" i="33"/>
  <c r="F104" i="33" s="1"/>
  <c r="G104" i="33" s="1"/>
  <c r="D104" i="33"/>
  <c r="D66" i="33"/>
  <c r="C66" i="33" s="1"/>
  <c r="E66" i="33"/>
  <c r="B9" i="80"/>
  <c r="V10" i="81"/>
  <c r="U10" i="81"/>
  <c r="T10" i="81"/>
  <c r="R10" i="81"/>
  <c r="F16" i="4"/>
  <c r="U3" i="43"/>
  <c r="U2" i="43"/>
  <c r="B59" i="1" l="1"/>
  <c r="B21" i="1"/>
  <c r="N17" i="1"/>
  <c r="F6" i="80"/>
  <c r="F19" i="6"/>
  <c r="J49" i="67" l="1"/>
  <c r="L18" i="1"/>
  <c r="N18" i="1"/>
  <c r="N20" i="1" s="1"/>
  <c r="N6" i="1" s="1"/>
  <c r="Y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4" i="79"/>
  <c r="AG34" i="79" s="1"/>
  <c r="S33" i="79"/>
  <c r="AG33" i="79" s="1"/>
  <c r="W40" i="79"/>
  <c r="AK40" i="79" s="1"/>
  <c r="AH40" i="79"/>
  <c r="W22" i="79"/>
  <c r="AK22" i="79" s="1"/>
  <c r="AH22" i="79"/>
  <c r="AR40" i="79"/>
  <c r="AR41" i="79" s="1"/>
  <c r="AR42" i="79" s="1"/>
  <c r="AR43" i="79" s="1"/>
  <c r="AR44" i="79" s="1"/>
  <c r="AR45" i="79" s="1"/>
  <c r="AR46" i="79" s="1"/>
  <c r="AR47" i="79" s="1"/>
  <c r="AR48" i="79" s="1"/>
  <c r="AR49" i="79" s="1"/>
  <c r="AR50" i="79" s="1"/>
  <c r="AR51" i="79" s="1"/>
  <c r="AR52" i="79" s="1"/>
  <c r="AD38" i="79"/>
  <c r="AD37" i="79"/>
  <c r="AD36" i="79"/>
  <c r="T33" i="79"/>
  <c r="T34" i="79"/>
  <c r="T35" i="79"/>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18" i="79"/>
  <c r="AK18" i="79" s="1"/>
  <c r="AH18" i="79"/>
  <c r="W20" i="79"/>
  <c r="AK20" i="79" s="1"/>
  <c r="AH20" i="79"/>
  <c r="AH33" i="79"/>
  <c r="W33" i="79"/>
  <c r="AK33"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23" i="79"/>
  <c r="AK23" i="79" s="1"/>
  <c r="AH23" i="79"/>
  <c r="W12" i="79"/>
  <c r="AK12" i="79" s="1"/>
  <c r="AH12" i="79"/>
  <c r="W21" i="79"/>
  <c r="AK21" i="79" s="1"/>
  <c r="AH21" i="79"/>
  <c r="W47" i="79"/>
  <c r="AK47" i="79" s="1"/>
  <c r="AH47" i="79"/>
  <c r="W45" i="79"/>
  <c r="AK45" i="79" s="1"/>
  <c r="AH45"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E29" i="77"/>
  <c r="AH10" i="71"/>
  <c r="AG10" i="71"/>
  <c r="AE10" i="71"/>
  <c r="AF10" i="71" s="1"/>
  <c r="AD10" i="71"/>
  <c r="Q10" i="71"/>
  <c r="P10" i="71"/>
  <c r="O10" i="71"/>
  <c r="N10" i="71"/>
  <c r="C40" i="77" l="1"/>
  <c r="B2"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H29" i="39"/>
  <c r="AB29" i="39" s="1"/>
  <c r="J29" i="39"/>
  <c r="AC29" i="39" s="1"/>
  <c r="J18" i="36"/>
  <c r="AC18" i="36" s="1"/>
  <c r="H18" i="35"/>
  <c r="AB18" i="35" s="1"/>
  <c r="J18" i="35"/>
  <c r="AC18" i="35" s="1"/>
  <c r="H21" i="37"/>
  <c r="F21" i="37"/>
  <c r="AA21" i="37" s="1"/>
  <c r="F84" i="34"/>
  <c r="G84" i="34" s="1"/>
  <c r="H21" i="34"/>
  <c r="AB21" i="34" s="1"/>
  <c r="H21" i="33"/>
  <c r="U21" i="33" s="1"/>
  <c r="F21" i="33"/>
  <c r="S21" i="33" s="1"/>
  <c r="E83" i="21"/>
  <c r="F83" i="21" s="1"/>
  <c r="H1" i="69"/>
  <c r="AC25" i="40"/>
  <c r="W25" i="40"/>
  <c r="U29" i="39"/>
  <c r="W18" i="36"/>
  <c r="AB21" i="37"/>
  <c r="U21" i="37"/>
  <c r="J21" i="37"/>
  <c r="W21" i="37" s="1"/>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s="1"/>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H30" i="21" s="1"/>
  <c r="B94" i="21"/>
  <c r="J29" i="21" s="1"/>
  <c r="AC29" i="21" s="1"/>
  <c r="B92" i="21"/>
  <c r="H28" i="21" s="1"/>
  <c r="AB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s="1"/>
  <c r="F11" i="40"/>
  <c r="AA11" i="40" s="1"/>
  <c r="H11" i="40"/>
  <c r="AB11" i="40" s="1"/>
  <c r="W8" i="40"/>
  <c r="AB39"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c r="J15" i="40"/>
  <c r="W15" i="40" s="1"/>
  <c r="J11" i="40"/>
  <c r="AC11" i="40" s="1"/>
  <c r="AB8" i="39"/>
  <c r="AC12" i="34"/>
  <c r="AB12" i="35"/>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c r="F41" i="33"/>
  <c r="AA41" i="33"/>
  <c r="S38" i="33"/>
  <c r="E113" i="33"/>
  <c r="F32" i="33"/>
  <c r="S32" i="33" s="1"/>
  <c r="J19" i="33"/>
  <c r="AC19" i="33" s="1"/>
  <c r="J15" i="33"/>
  <c r="AC15" i="33" s="1"/>
  <c r="F11" i="33"/>
  <c r="AA11" i="33" s="1"/>
  <c r="U40" i="33"/>
  <c r="W40" i="33"/>
  <c r="F37" i="40"/>
  <c r="AA37" i="40" s="1"/>
  <c r="F36" i="40"/>
  <c r="AA36" i="40"/>
  <c r="H28" i="40"/>
  <c r="U28" i="40" s="1"/>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F28" i="21"/>
  <c r="AA28" i="21"/>
  <c r="J28" i="21"/>
  <c r="W28" i="21" s="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W13" i="33" s="1"/>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AB30" i="21"/>
  <c r="W31"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J11" i="39"/>
  <c r="W11" i="39"/>
  <c r="F11" i="39"/>
  <c r="S11" i="39" s="1"/>
  <c r="AA11" i="39"/>
  <c r="G4" i="4"/>
  <c r="I4" i="4"/>
  <c r="F61" i="43"/>
  <c r="H64" i="43" s="1"/>
  <c r="BL549" i="3"/>
  <c r="AZ549" i="3" s="1"/>
  <c r="AZ494" i="3"/>
  <c r="AZ514"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AZ199" i="3" s="1"/>
  <c r="BL200" i="3"/>
  <c r="AZ200" i="3" s="1"/>
  <c r="G201" i="3"/>
  <c r="BA203" i="3"/>
  <c r="BL204" i="3"/>
  <c r="AZ55"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G332" i="3"/>
  <c r="BA334" i="3"/>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AZ380" i="3" s="1"/>
  <c r="G381" i="3"/>
  <c r="BA383" i="3"/>
  <c r="AZ383" i="3" s="1"/>
  <c r="BL384" i="3"/>
  <c r="AZ384" i="3" s="1"/>
  <c r="G385" i="3"/>
  <c r="BA387" i="3"/>
  <c r="BL388" i="3"/>
  <c r="G389" i="3"/>
  <c r="BA391" i="3"/>
  <c r="AZ391" i="3" s="1"/>
  <c r="BL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6" i="3"/>
  <c r="BA15" i="3"/>
  <c r="AZ15" i="3" s="1"/>
  <c r="BB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80" i="3"/>
  <c r="AZ130" i="3"/>
  <c r="AZ8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C12" i="39"/>
  <c r="W12" i="39"/>
  <c r="AC39" i="40"/>
  <c r="W39" i="40"/>
  <c r="AZ412" i="3"/>
  <c r="W12" i="33"/>
  <c r="AC12" i="33"/>
  <c r="AA32" i="36"/>
  <c r="S32" i="36"/>
  <c r="AZ437" i="3"/>
  <c r="BL14" i="3"/>
  <c r="U30" i="33"/>
  <c r="AC13" i="34"/>
  <c r="AA47" i="34"/>
  <c r="W28" i="37"/>
  <c r="S19" i="39"/>
  <c r="F12" i="33"/>
  <c r="H12" i="39"/>
  <c r="U12" i="39" s="1"/>
  <c r="AB12" i="39"/>
  <c r="F39" i="40"/>
  <c r="BA14" i="3"/>
  <c r="AZ224"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U25" i="33" s="1"/>
  <c r="F25" i="33"/>
  <c r="AA25" i="33" s="1"/>
  <c r="J23" i="33"/>
  <c r="AC23" i="33" s="1"/>
  <c r="F85" i="33"/>
  <c r="H23" i="33"/>
  <c r="AB23" i="33" s="1"/>
  <c r="F81" i="33"/>
  <c r="F19" i="33"/>
  <c r="S19" i="33" s="1"/>
  <c r="J17" i="33"/>
  <c r="W17" i="33" s="1"/>
  <c r="F79" i="33"/>
  <c r="G7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BA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G91" i="33"/>
  <c r="H91" i="33"/>
  <c r="I91" i="33" s="1"/>
  <c r="J91" i="33" s="1"/>
  <c r="K91" i="33" s="1"/>
  <c r="L91" i="33" s="1"/>
  <c r="M91" i="33"/>
  <c r="J27" i="33"/>
  <c r="W27" i="33" s="1"/>
  <c r="G87" i="33"/>
  <c r="H87" i="33" s="1"/>
  <c r="I87" i="33"/>
  <c r="J87" i="33" s="1"/>
  <c r="K87" i="33" s="1"/>
  <c r="L87" i="33" s="1"/>
  <c r="M87" i="33" s="1"/>
  <c r="J25" i="33"/>
  <c r="W25" i="33" s="1"/>
  <c r="F23" i="33"/>
  <c r="G85" i="33"/>
  <c r="H19" i="33"/>
  <c r="U19" i="33" s="1"/>
  <c r="G81" i="33"/>
  <c r="H17" i="33"/>
  <c r="U17" i="33" s="1"/>
  <c r="F17" i="33"/>
  <c r="S17" i="33" s="1"/>
  <c r="S37" i="21"/>
  <c r="AA23" i="21"/>
  <c r="AB15" i="21"/>
  <c r="J23" i="21"/>
  <c r="W23" i="21" s="1"/>
  <c r="F85" i="21"/>
  <c r="G85" i="21" s="1"/>
  <c r="H23" i="21"/>
  <c r="AB23" i="21" s="1"/>
  <c r="D6" i="52"/>
  <c r="AP7" i="1"/>
  <c r="AB45" i="21"/>
  <c r="AA32" i="21"/>
  <c r="S32" i="21"/>
  <c r="AC9" i="21"/>
  <c r="AB32" i="21"/>
  <c r="U32" i="21"/>
  <c r="U32" i="39"/>
  <c r="AC32" i="39"/>
  <c r="W32" i="39"/>
  <c r="AC23" i="37"/>
  <c r="J63" i="37"/>
  <c r="K63" i="37" s="1"/>
  <c r="L63" i="37" s="1"/>
  <c r="M63" i="37" s="1"/>
  <c r="J11" i="37"/>
  <c r="AC11" i="37" s="1"/>
  <c r="J11" i="34"/>
  <c r="W11" i="34" s="1"/>
  <c r="U23" i="21"/>
  <c r="AC23" i="21"/>
  <c r="H109" i="9"/>
  <c r="H112" i="9"/>
  <c r="D21" i="53"/>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5" i="73"/>
  <c r="F16" i="15"/>
  <c r="C76" i="15"/>
  <c r="M24" i="15"/>
  <c r="E2" i="68"/>
  <c r="F43" i="15"/>
  <c r="M6" i="15"/>
  <c r="E10" i="76"/>
  <c r="B11" i="76"/>
  <c r="E2" i="69"/>
  <c r="F6" i="73"/>
  <c r="M28" i="15"/>
  <c r="M26" i="15"/>
  <c r="L48" i="15"/>
  <c r="E12" i="76"/>
  <c r="B9" i="76"/>
  <c r="L47" i="15"/>
  <c r="B7" i="76"/>
  <c r="F37" i="15"/>
  <c r="F6" i="15"/>
  <c r="E9" i="76"/>
  <c r="F42" i="15"/>
  <c r="F36" i="15"/>
  <c r="M29" i="15"/>
  <c r="B8" i="76"/>
  <c r="E7" i="76"/>
  <c r="AC28" i="33" l="1"/>
  <c r="AA44" i="33"/>
  <c r="S36" i="33"/>
  <c r="AC13" i="33"/>
  <c r="AB36" i="33"/>
  <c r="AC32" i="33"/>
  <c r="U32" i="33"/>
  <c r="AB28" i="33"/>
  <c r="S28" i="33"/>
  <c r="U27" i="33"/>
  <c r="AC26" i="33"/>
  <c r="U23" i="33"/>
  <c r="AC21" i="33"/>
  <c r="AA21" i="33"/>
  <c r="AB21" i="33"/>
  <c r="AB19" i="33"/>
  <c r="AA19" i="33"/>
  <c r="W19" i="33"/>
  <c r="AC17" i="33"/>
  <c r="AA17" i="33"/>
  <c r="W15" i="33"/>
  <c r="U15" i="33"/>
  <c r="S15" i="33"/>
  <c r="U33" i="33"/>
  <c r="S33" i="33"/>
  <c r="AA32" i="33"/>
  <c r="S26" i="33"/>
  <c r="AC27" i="33"/>
  <c r="S27" i="33"/>
  <c r="S25" i="33"/>
  <c r="AB25" i="33"/>
  <c r="AC11" i="33"/>
  <c r="U11" i="33"/>
  <c r="W8" i="33"/>
  <c r="C5" i="68"/>
  <c r="F7" i="15"/>
  <c r="F26" i="15"/>
  <c r="F7" i="73"/>
  <c r="E13" i="76"/>
  <c r="M8" i="15"/>
  <c r="AO13" i="1"/>
  <c r="F3" i="73"/>
  <c r="B13" i="76"/>
  <c r="M22" i="15"/>
  <c r="M23" i="15"/>
  <c r="F40" i="15"/>
  <c r="F20" i="31"/>
  <c r="E8" i="76"/>
  <c r="J15" i="15"/>
  <c r="M9" i="15"/>
  <c r="B10" i="76"/>
  <c r="F13" i="15"/>
  <c r="F8" i="15"/>
  <c r="F9" i="15"/>
  <c r="F4" i="73"/>
  <c r="D6" i="73"/>
  <c r="E11" i="76"/>
  <c r="F38" i="15"/>
  <c r="W9" i="33" l="1"/>
  <c r="G1" i="68"/>
  <c r="G1" i="67"/>
  <c r="G1" i="69"/>
  <c r="D52" i="43"/>
  <c r="D50" i="43"/>
  <c r="F30" i="68"/>
  <c r="F48" i="68" s="1"/>
  <c r="F34" i="15"/>
  <c r="F62" i="15" s="1"/>
  <c r="F32" i="15"/>
  <c r="F60" i="15" s="1"/>
  <c r="F52" i="9"/>
  <c r="F54" i="9"/>
  <c r="F32" i="67"/>
  <c r="F60" i="67" s="1"/>
  <c r="F28" i="15"/>
  <c r="F28" i="67"/>
  <c r="C28" i="67" s="1"/>
  <c r="M18" i="15"/>
  <c r="M18" i="67"/>
  <c r="F30" i="11"/>
  <c r="C48" i="11" s="1"/>
  <c r="D68" i="9"/>
  <c r="F30" i="69"/>
  <c r="F48" i="69" s="1"/>
  <c r="F31" i="12"/>
  <c r="C40" i="69"/>
  <c r="C40" i="11"/>
  <c r="C21" i="68"/>
  <c r="G29" i="6"/>
  <c r="F29" i="6"/>
  <c r="A4" i="52"/>
  <c r="B41" i="72" s="1"/>
  <c r="A2" i="9"/>
  <c r="A118" i="9"/>
  <c r="G23" i="43"/>
  <c r="C23" i="43" s="1"/>
  <c r="C7" i="33"/>
  <c r="C7" i="36"/>
  <c r="C46" i="36" s="1"/>
  <c r="D46" i="36" s="1"/>
  <c r="E46" i="36" s="1"/>
  <c r="F46" i="36" s="1"/>
  <c r="G46" i="36" s="1"/>
  <c r="H46" i="36" s="1"/>
  <c r="I46" i="36" s="1"/>
  <c r="M47" i="9"/>
  <c r="C7" i="35"/>
  <c r="C48" i="35" s="1"/>
  <c r="D48" i="35" s="1"/>
  <c r="D22" i="71"/>
  <c r="U9" i="21"/>
  <c r="AA13" i="21"/>
  <c r="S13" i="21"/>
  <c r="AC25" i="33"/>
  <c r="AA32" i="37"/>
  <c r="AZ357" i="3"/>
  <c r="AZ313" i="3"/>
  <c r="AZ394" i="3"/>
  <c r="AZ531" i="3"/>
  <c r="AZ583" i="3"/>
  <c r="AZ568" i="3"/>
  <c r="AZ576" i="3"/>
  <c r="AA14" i="34"/>
  <c r="AA14" i="37"/>
  <c r="W11" i="40"/>
  <c r="AZ14" i="3"/>
  <c r="AZ334" i="3"/>
  <c r="AZ523" i="3"/>
  <c r="AZ547" i="3"/>
  <c r="AZ571" i="3"/>
  <c r="AZ579" i="3"/>
  <c r="AB46" i="34"/>
  <c r="AA28" i="34"/>
  <c r="S28" i="34"/>
  <c r="B97" i="43"/>
  <c r="B75" i="43"/>
  <c r="J36" i="35"/>
  <c r="AC36" i="35" s="1"/>
  <c r="H36" i="35"/>
  <c r="AZ443" i="3"/>
  <c r="AA35" i="33"/>
  <c r="AC39" i="34"/>
  <c r="S20" i="35"/>
  <c r="AA34" i="33"/>
  <c r="AZ387" i="3"/>
  <c r="AZ362" i="3"/>
  <c r="AZ338" i="3"/>
  <c r="AZ390" i="3"/>
  <c r="AZ371" i="3"/>
  <c r="AZ351" i="3"/>
  <c r="AZ336" i="3"/>
  <c r="AZ305" i="3"/>
  <c r="AZ360" i="3"/>
  <c r="AB33" i="40"/>
  <c r="AC31" i="33"/>
  <c r="AZ539" i="3"/>
  <c r="AZ529" i="3"/>
  <c r="AZ537" i="3"/>
  <c r="AZ518" i="3"/>
  <c r="AZ526" i="3"/>
  <c r="AZ546" i="3"/>
  <c r="AZ564" i="3"/>
  <c r="AZ580" i="3"/>
  <c r="AB45" i="33"/>
  <c r="S11" i="36"/>
  <c r="AB26" i="33"/>
  <c r="AZ402" i="3"/>
  <c r="AZ406" i="3"/>
  <c r="AZ458" i="3"/>
  <c r="AZ306" i="3"/>
  <c r="AZ513" i="3"/>
  <c r="AZ502" i="3"/>
  <c r="H12" i="36"/>
  <c r="H33" i="36"/>
  <c r="F25" i="37"/>
  <c r="BA551" i="3"/>
  <c r="AZ551" i="3" s="1"/>
  <c r="BA550" i="3"/>
  <c r="BL548" i="3"/>
  <c r="AZ548" i="3" s="1"/>
  <c r="G398" i="3"/>
  <c r="BL400" i="3"/>
  <c r="AZ400" i="3" s="1"/>
  <c r="BL408" i="3"/>
  <c r="BL411" i="3"/>
  <c r="BL413" i="3"/>
  <c r="AZ413" i="3" s="1"/>
  <c r="G415" i="3"/>
  <c r="BL417" i="3"/>
  <c r="AZ417" i="3" s="1"/>
  <c r="BL418" i="3"/>
  <c r="BL420" i="3"/>
  <c r="G422" i="3"/>
  <c r="BL424" i="3"/>
  <c r="G426" i="3"/>
  <c r="BL428" i="3"/>
  <c r="AZ428" i="3" s="1"/>
  <c r="BL429" i="3"/>
  <c r="BL432" i="3"/>
  <c r="BL435" i="3"/>
  <c r="BL436" i="3"/>
  <c r="BA439" i="3"/>
  <c r="BA440" i="3"/>
  <c r="AZ440" i="3" s="1"/>
  <c r="BA442" i="3"/>
  <c r="BA445" i="3"/>
  <c r="BA447" i="3"/>
  <c r="AZ447" i="3" s="1"/>
  <c r="BA449" i="3"/>
  <c r="BL453" i="3"/>
  <c r="BL454" i="3"/>
  <c r="BL459" i="3"/>
  <c r="G461" i="3"/>
  <c r="BA462" i="3"/>
  <c r="AZ462" i="3" s="1"/>
  <c r="BL464" i="3"/>
  <c r="AZ464" i="3" s="1"/>
  <c r="BA470" i="3"/>
  <c r="BA476" i="3"/>
  <c r="AZ476" i="3" s="1"/>
  <c r="AZ483" i="3"/>
  <c r="BA489" i="3"/>
  <c r="BL585" i="3"/>
  <c r="AZ585" i="3" s="1"/>
  <c r="H24" i="36"/>
  <c r="G558" i="3"/>
  <c r="BL398" i="3"/>
  <c r="BL403" i="3"/>
  <c r="G405" i="3"/>
  <c r="BA408" i="3"/>
  <c r="AZ408" i="3" s="1"/>
  <c r="BA409" i="3"/>
  <c r="AZ409" i="3" s="1"/>
  <c r="BA411" i="3"/>
  <c r="AZ411" i="3" s="1"/>
  <c r="AZ429" i="3"/>
  <c r="AZ432" i="3"/>
  <c r="BA434" i="3"/>
  <c r="BA436" i="3"/>
  <c r="BA438" i="3"/>
  <c r="G442" i="3"/>
  <c r="G443" i="3"/>
  <c r="BA446" i="3"/>
  <c r="BA450" i="3"/>
  <c r="AZ453" i="3"/>
  <c r="BL550" i="3"/>
  <c r="AZ398" i="3"/>
  <c r="BA414" i="3"/>
  <c r="AZ414" i="3" s="1"/>
  <c r="BA415" i="3"/>
  <c r="AZ415" i="3" s="1"/>
  <c r="BA416" i="3"/>
  <c r="AZ416" i="3" s="1"/>
  <c r="BA418" i="3"/>
  <c r="AZ418" i="3" s="1"/>
  <c r="BA421" i="3"/>
  <c r="AZ421" i="3" s="1"/>
  <c r="BA423" i="3"/>
  <c r="AZ423" i="3" s="1"/>
  <c r="BA425" i="3"/>
  <c r="AZ425" i="3" s="1"/>
  <c r="BA426" i="3"/>
  <c r="BA427" i="3"/>
  <c r="AZ427" i="3" s="1"/>
  <c r="BA433" i="3"/>
  <c r="AZ433" i="3" s="1"/>
  <c r="AZ435" i="3"/>
  <c r="G451" i="3"/>
  <c r="BA454" i="3"/>
  <c r="AZ454" i="3" s="1"/>
  <c r="BA457" i="3"/>
  <c r="AZ457" i="3" s="1"/>
  <c r="BA459" i="3"/>
  <c r="AZ459" i="3" s="1"/>
  <c r="BA460" i="3"/>
  <c r="AZ460" i="3" s="1"/>
  <c r="BA461" i="3"/>
  <c r="AZ461" i="3" s="1"/>
  <c r="BL465" i="3"/>
  <c r="BL466" i="3"/>
  <c r="AZ466" i="3" s="1"/>
  <c r="G469" i="3"/>
  <c r="BL488" i="3"/>
  <c r="BA331" i="3"/>
  <c r="AZ331" i="3" s="1"/>
  <c r="S44" i="39"/>
  <c r="U9" i="40"/>
  <c r="S27" i="35"/>
  <c r="W33" i="33"/>
  <c r="G585" i="3"/>
  <c r="BL587" i="3"/>
  <c r="AZ587" i="3" s="1"/>
  <c r="BL586" i="3"/>
  <c r="AZ586" i="3" s="1"/>
  <c r="J9" i="34"/>
  <c r="H12" i="34"/>
  <c r="G574" i="3"/>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G463" i="3"/>
  <c r="BL463" i="3"/>
  <c r="G465" i="3"/>
  <c r="BA471" i="3"/>
  <c r="BA480" i="3"/>
  <c r="AZ480" i="3" s="1"/>
  <c r="BL487" i="3"/>
  <c r="AZ487" i="3" s="1"/>
  <c r="BL308" i="3"/>
  <c r="AZ308" i="3" s="1"/>
  <c r="AZ217" i="3"/>
  <c r="BL467" i="3"/>
  <c r="BL468" i="3"/>
  <c r="BL470" i="3"/>
  <c r="BL473" i="3"/>
  <c r="AZ473" i="3" s="1"/>
  <c r="BL474" i="3"/>
  <c r="BA482" i="3"/>
  <c r="BA484" i="3"/>
  <c r="AZ484" i="3" s="1"/>
  <c r="BA303" i="3"/>
  <c r="AZ303" i="3" s="1"/>
  <c r="BA307" i="3"/>
  <c r="AZ307" i="3" s="1"/>
  <c r="BL314" i="3"/>
  <c r="AZ314" i="3" s="1"/>
  <c r="BA332" i="3"/>
  <c r="AZ332" i="3" s="1"/>
  <c r="BL332" i="3"/>
  <c r="G339" i="3"/>
  <c r="G364" i="3"/>
  <c r="BA367" i="3"/>
  <c r="AZ367" i="3" s="1"/>
  <c r="BA370" i="3"/>
  <c r="AZ370" i="3" s="1"/>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BA284" i="3"/>
  <c r="BL286" i="3"/>
  <c r="BA302" i="3"/>
  <c r="BA116" i="3"/>
  <c r="AZ116" i="3" s="1"/>
  <c r="BA121" i="3"/>
  <c r="BL121" i="3"/>
  <c r="BA129" i="3"/>
  <c r="BA133" i="3"/>
  <c r="BA134"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AZ282" i="3" s="1"/>
  <c r="BL282" i="3"/>
  <c r="BA288" i="3"/>
  <c r="BA290" i="3"/>
  <c r="BL300" i="3"/>
  <c r="BA132" i="3"/>
  <c r="AZ132" i="3" s="1"/>
  <c r="BL135" i="3"/>
  <c r="AZ135"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BA286" i="3"/>
  <c r="AZ286" i="3" s="1"/>
  <c r="BL287" i="3"/>
  <c r="BL290" i="3"/>
  <c r="BL291" i="3"/>
  <c r="AZ291" i="3" s="1"/>
  <c r="BL293" i="3"/>
  <c r="BL294" i="3"/>
  <c r="BA297" i="3"/>
  <c r="AZ297" i="3" s="1"/>
  <c r="BL297" i="3"/>
  <c r="BL122" i="3"/>
  <c r="BA126" i="3"/>
  <c r="AZ126" i="3" s="1"/>
  <c r="BL133" i="3"/>
  <c r="G135" i="3"/>
  <c r="BL113" i="3"/>
  <c r="BL115" i="3"/>
  <c r="AZ115" i="3" s="1"/>
  <c r="BA118" i="3"/>
  <c r="AZ118" i="3" s="1"/>
  <c r="BL118" i="3"/>
  <c r="BA122" i="3"/>
  <c r="AZ122" i="3" s="1"/>
  <c r="BL125" i="3"/>
  <c r="AZ125" i="3" s="1"/>
  <c r="BL126" i="3"/>
  <c r="G130"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AZ64" i="3"/>
  <c r="D31" i="71"/>
  <c r="C32" i="71"/>
  <c r="C52" i="71"/>
  <c r="D51" i="71"/>
  <c r="C55" i="71"/>
  <c r="D54" i="71"/>
  <c r="V24" i="71"/>
  <c r="E23" i="71"/>
  <c r="E22" i="71" s="1"/>
  <c r="E21" i="71" s="1"/>
  <c r="E20" i="71"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6" i="3"/>
  <c r="BL67" i="3"/>
  <c r="BA72" i="3"/>
  <c r="BA73" i="3"/>
  <c r="B13" i="1"/>
  <c r="E13" i="1" s="1"/>
  <c r="K13" i="1"/>
  <c r="M13" i="1" s="1"/>
  <c r="O13" i="1" s="1"/>
  <c r="P13" i="1" s="1"/>
  <c r="C60" i="71"/>
  <c r="D59" i="71"/>
  <c r="N67" i="71"/>
  <c r="B66" i="71"/>
  <c r="F66" i="71"/>
  <c r="Q67" i="71"/>
  <c r="BL139" i="3"/>
  <c r="AZ139" i="3" s="1"/>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BL53" i="3"/>
  <c r="BA56" i="3"/>
  <c r="BA57" i="3"/>
  <c r="BL58" i="3"/>
  <c r="G60" i="3"/>
  <c r="BA60" i="3"/>
  <c r="BA63" i="3"/>
  <c r="BL65" i="3"/>
  <c r="AZ65" i="3" s="1"/>
  <c r="BL66" i="3"/>
  <c r="BA70" i="3"/>
  <c r="AZ70" i="3" s="1"/>
  <c r="BA80" i="3"/>
  <c r="BL84" i="3"/>
  <c r="C44" i="71"/>
  <c r="D43" i="71"/>
  <c r="BL284" i="3"/>
  <c r="G285" i="3"/>
  <c r="G288" i="3"/>
  <c r="BL292" i="3"/>
  <c r="BA294" i="3"/>
  <c r="BL295" i="3"/>
  <c r="BA298" i="3"/>
  <c r="AZ298" i="3" s="1"/>
  <c r="BL301" i="3"/>
  <c r="AZ301" i="3" s="1"/>
  <c r="BL302" i="3"/>
  <c r="BA114" i="3"/>
  <c r="BL123" i="3"/>
  <c r="AZ123" i="3" s="1"/>
  <c r="BA128" i="3"/>
  <c r="AZ128" i="3" s="1"/>
  <c r="BL134" i="3"/>
  <c r="BL137" i="3"/>
  <c r="AZ137" i="3" s="1"/>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A67" i="3"/>
  <c r="AZ67" i="3" s="1"/>
  <c r="BA68" i="3"/>
  <c r="BA71" i="3"/>
  <c r="AZ71" i="3" s="1"/>
  <c r="BL72" i="3"/>
  <c r="BL75" i="3"/>
  <c r="BA78" i="3"/>
  <c r="BL86" i="3"/>
  <c r="AZ103" i="3"/>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W29" i="39"/>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BA90" i="3"/>
  <c r="BL94" i="3"/>
  <c r="AZ94" i="3" s="1"/>
  <c r="BA100" i="3"/>
  <c r="AZ100" i="3" s="1"/>
  <c r="BA102" i="3"/>
  <c r="AZ102" i="3" s="1"/>
  <c r="BL105" i="3"/>
  <c r="AZ105" i="3" s="1"/>
  <c r="BL107" i="3"/>
  <c r="BA111" i="3"/>
  <c r="AZ111" i="3" s="1"/>
  <c r="AC21" i="37"/>
  <c r="U21" i="34"/>
  <c r="B57"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J15" i="67"/>
  <c r="M29" i="67"/>
  <c r="F7" i="67"/>
  <c r="F40" i="67"/>
  <c r="F16" i="67"/>
  <c r="F6" i="67"/>
  <c r="D7" i="73"/>
  <c r="C16" i="15"/>
  <c r="F36" i="67"/>
  <c r="F43" i="67"/>
  <c r="F8" i="67"/>
  <c r="F26" i="67"/>
  <c r="D5" i="73"/>
  <c r="M26" i="67"/>
  <c r="M6" i="67"/>
  <c r="M23" i="67"/>
  <c r="F13" i="67"/>
  <c r="M22" i="67"/>
  <c r="L47" i="67"/>
  <c r="L48" i="67"/>
  <c r="D3" i="73"/>
  <c r="M28" i="67"/>
  <c r="F9" i="67"/>
  <c r="M24" i="67"/>
  <c r="M8" i="67"/>
  <c r="M9" i="67"/>
  <c r="F42" i="67"/>
  <c r="F37" i="67"/>
  <c r="C76" i="67"/>
  <c r="F38" i="67"/>
  <c r="D4" i="73"/>
  <c r="I7" i="33" l="1"/>
  <c r="G7" i="33"/>
  <c r="E7" i="33"/>
  <c r="F66" i="67"/>
  <c r="L56" i="67"/>
  <c r="J53" i="67"/>
  <c r="F1" i="67" s="1"/>
  <c r="I54" i="67"/>
  <c r="J57" i="67"/>
  <c r="J55" i="67" s="1"/>
  <c r="J58" i="67" s="1"/>
  <c r="Q50" i="67" s="1"/>
  <c r="C6" i="67"/>
  <c r="F31" i="67"/>
  <c r="C27" i="67"/>
  <c r="L58" i="67"/>
  <c r="Q60" i="67" s="1"/>
  <c r="M59" i="67"/>
  <c r="N59" i="67"/>
  <c r="L59" i="67"/>
  <c r="Q61" i="67" s="1"/>
  <c r="Q71" i="67"/>
  <c r="F68" i="67"/>
  <c r="F65" i="67"/>
  <c r="F51" i="67"/>
  <c r="F50" i="67"/>
  <c r="M7" i="67"/>
  <c r="J6" i="67" s="1"/>
  <c r="J18" i="67" s="1"/>
  <c r="F71" i="67"/>
  <c r="F64" i="67"/>
  <c r="P6" i="1"/>
  <c r="C13" i="12" s="1"/>
  <c r="Q16" i="1"/>
  <c r="F27" i="69" s="1"/>
  <c r="F45" i="69" s="1"/>
  <c r="K16" i="1"/>
  <c r="H16" i="1"/>
  <c r="J26" i="43"/>
  <c r="N370" i="46"/>
  <c r="N94" i="46"/>
  <c r="F26" i="43"/>
  <c r="D26" i="43" s="1"/>
  <c r="C25" i="43" s="1"/>
  <c r="E26" i="43"/>
  <c r="D20" i="53"/>
  <c r="B40" i="72" s="1"/>
  <c r="G16" i="1"/>
  <c r="F10" i="39" s="1"/>
  <c r="S10" i="39" s="1"/>
  <c r="C70" i="71"/>
  <c r="D70" i="71" s="1"/>
  <c r="D71" i="71"/>
  <c r="N65" i="71"/>
  <c r="N66" i="71"/>
  <c r="AZ51" i="3"/>
  <c r="C56" i="71"/>
  <c r="D55" i="71"/>
  <c r="AZ223" i="3"/>
  <c r="AZ133" i="3"/>
  <c r="AZ284" i="3"/>
  <c r="AZ251" i="3"/>
  <c r="AZ247" i="3"/>
  <c r="AZ229" i="3"/>
  <c r="T28" i="71"/>
  <c r="D28" i="71"/>
  <c r="U28" i="71" s="1"/>
  <c r="C27" i="71"/>
  <c r="D79" i="71"/>
  <c r="C78" i="71"/>
  <c r="D78" i="71" s="1"/>
  <c r="D44" i="71"/>
  <c r="T44" i="71"/>
  <c r="AZ66" i="3"/>
  <c r="AZ58" i="3"/>
  <c r="AZ49" i="3"/>
  <c r="AZ302" i="3"/>
  <c r="U12" i="34"/>
  <c r="AB12" i="34"/>
  <c r="AA25" i="37"/>
  <c r="S25" i="37"/>
  <c r="D83" i="71"/>
  <c r="C82" i="71"/>
  <c r="D82" i="71" s="1"/>
  <c r="O65" i="71"/>
  <c r="D66" i="71"/>
  <c r="O66" i="71"/>
  <c r="AZ182" i="3"/>
  <c r="T52" i="71"/>
  <c r="D52" i="71"/>
  <c r="AZ178" i="3"/>
  <c r="AC9" i="34"/>
  <c r="W9" i="34"/>
  <c r="AB24" i="36"/>
  <c r="U24" i="36"/>
  <c r="AB33" i="36"/>
  <c r="U33" i="36"/>
  <c r="AB36" i="35"/>
  <c r="U36" i="35"/>
  <c r="G5" i="3"/>
  <c r="B3" i="3" s="1"/>
  <c r="E510" i="3" s="1"/>
  <c r="C40" i="71"/>
  <c r="D39" i="71"/>
  <c r="C36" i="71"/>
  <c r="D35" i="71"/>
  <c r="AZ150" i="3"/>
  <c r="AZ294" i="3"/>
  <c r="AZ63" i="3"/>
  <c r="AZ57" i="3"/>
  <c r="D60" i="71"/>
  <c r="T60" i="71"/>
  <c r="AZ72" i="3"/>
  <c r="T32" i="71"/>
  <c r="D32" i="71"/>
  <c r="AZ353" i="3"/>
  <c r="AZ121" i="3"/>
  <c r="AZ471" i="3"/>
  <c r="AZ550" i="3"/>
  <c r="U12" i="36"/>
  <c r="AB12" i="36"/>
  <c r="J7" i="37"/>
  <c r="K1" i="73"/>
  <c r="E417" i="3"/>
  <c r="E67" i="3"/>
  <c r="E522" i="3"/>
  <c r="E408" i="3"/>
  <c r="E412" i="3"/>
  <c r="E188" i="3"/>
  <c r="E440" i="3"/>
  <c r="E463" i="3"/>
  <c r="E202" i="3"/>
  <c r="E333" i="3"/>
  <c r="E43" i="3"/>
  <c r="E455" i="3"/>
  <c r="E137" i="3"/>
  <c r="E339" i="3"/>
  <c r="E52" i="3"/>
  <c r="E147" i="3"/>
  <c r="E50" i="3"/>
  <c r="E218" i="3"/>
  <c r="E101" i="3"/>
  <c r="E398" i="3"/>
  <c r="E155" i="3"/>
  <c r="E58" i="3"/>
  <c r="E65" i="3"/>
  <c r="E24"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F10" i="40"/>
  <c r="S10" i="40" s="1"/>
  <c r="J10" i="39"/>
  <c r="W10" i="39"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AE7" i="1"/>
  <c r="AE8" i="1"/>
  <c r="AE12" i="1"/>
  <c r="AE10" i="1"/>
  <c r="C16" i="67"/>
  <c r="AE6" i="1"/>
  <c r="F41" i="67"/>
  <c r="G1" i="73"/>
  <c r="C49" i="67" l="1"/>
  <c r="Q73" i="67"/>
  <c r="Q52" i="67"/>
  <c r="F59" i="67"/>
  <c r="Q74" i="67"/>
  <c r="F28" i="12"/>
  <c r="C29" i="12" s="1"/>
  <c r="D28" i="12" s="1"/>
  <c r="F27" i="68"/>
  <c r="F45" i="68" s="1"/>
  <c r="M17" i="67"/>
  <c r="F27" i="11"/>
  <c r="C29" i="11" s="1"/>
  <c r="D27" i="11" s="1"/>
  <c r="J5" i="67"/>
  <c r="J24" i="67" s="1"/>
  <c r="C29" i="69"/>
  <c r="D27" i="69" s="1"/>
  <c r="C47" i="69"/>
  <c r="D45" i="69" s="1"/>
  <c r="AA10" i="39"/>
  <c r="H10" i="39"/>
  <c r="U10" i="39" s="1"/>
  <c r="H10" i="40"/>
  <c r="AB10" i="40" s="1"/>
  <c r="J10" i="40"/>
  <c r="AC10" i="40" s="1"/>
  <c r="E250" i="3"/>
  <c r="E521" i="3"/>
  <c r="E90" i="3"/>
  <c r="E552" i="3"/>
  <c r="E524" i="3"/>
  <c r="E176" i="3"/>
  <c r="E364" i="3"/>
  <c r="E123" i="3"/>
  <c r="AQ6" i="3"/>
  <c r="E299" i="3"/>
  <c r="E170" i="3"/>
  <c r="E15" i="3"/>
  <c r="E60" i="3"/>
  <c r="E346" i="3"/>
  <c r="E178" i="3"/>
  <c r="E419" i="3"/>
  <c r="E507" i="3"/>
  <c r="E326" i="3"/>
  <c r="E225" i="3"/>
  <c r="E534" i="3"/>
  <c r="E18" i="3"/>
  <c r="E267" i="3"/>
  <c r="E449" i="3"/>
  <c r="E460" i="3"/>
  <c r="E141" i="3"/>
  <c r="E365" i="3"/>
  <c r="E62" i="3"/>
  <c r="E340" i="3"/>
  <c r="E112" i="3"/>
  <c r="E392" i="3"/>
  <c r="E234" i="3"/>
  <c r="E38" i="3"/>
  <c r="E473" i="3"/>
  <c r="L6" i="3"/>
  <c r="E276" i="3"/>
  <c r="E108" i="3"/>
  <c r="J6" i="3"/>
  <c r="E427" i="3"/>
  <c r="E232" i="3"/>
  <c r="E26" i="3"/>
  <c r="E205" i="3"/>
  <c r="E198" i="3"/>
  <c r="E409" i="3"/>
  <c r="E575" i="3"/>
  <c r="E386" i="3"/>
  <c r="E348" i="3"/>
  <c r="E566" i="3"/>
  <c r="E165" i="3"/>
  <c r="E265" i="3"/>
  <c r="E20" i="3"/>
  <c r="E289" i="3"/>
  <c r="E36" i="3"/>
  <c r="E325" i="3"/>
  <c r="E194" i="3"/>
  <c r="E79" i="3"/>
  <c r="E540" i="3"/>
  <c r="E372" i="3"/>
  <c r="E226" i="3"/>
  <c r="E25" i="3"/>
  <c r="E376" i="3"/>
  <c r="E393" i="3"/>
  <c r="E324" i="3"/>
  <c r="E13" i="3"/>
  <c r="E102" i="3"/>
  <c r="E63" i="3"/>
  <c r="E241" i="3"/>
  <c r="E401" i="3"/>
  <c r="AH6" i="3"/>
  <c r="E422" i="3"/>
  <c r="E543" i="3"/>
  <c r="E105" i="3"/>
  <c r="E16" i="3"/>
  <c r="E158" i="3"/>
  <c r="E49" i="3"/>
  <c r="E220" i="3"/>
  <c r="E428" i="3"/>
  <c r="E115" i="3"/>
  <c r="E420" i="3"/>
  <c r="E497" i="3"/>
  <c r="E469" i="3"/>
  <c r="E525" i="3"/>
  <c r="E22" i="3"/>
  <c r="E251" i="3"/>
  <c r="E383" i="3"/>
  <c r="E42" i="3"/>
  <c r="E513" i="3"/>
  <c r="E355" i="3"/>
  <c r="E492" i="3"/>
  <c r="E46" i="3"/>
  <c r="E544" i="3"/>
  <c r="E152" i="3"/>
  <c r="E517" i="3"/>
  <c r="E466" i="3"/>
  <c r="E212" i="3"/>
  <c r="E564" i="3"/>
  <c r="E116" i="3"/>
  <c r="E329" i="3"/>
  <c r="E80" i="3"/>
  <c r="E35" i="3"/>
  <c r="E190" i="3"/>
  <c r="E356" i="3"/>
  <c r="E41" i="3"/>
  <c r="E470" i="3"/>
  <c r="E360" i="3"/>
  <c r="E456" i="3"/>
  <c r="E173" i="3"/>
  <c r="E287" i="3"/>
  <c r="E206" i="3"/>
  <c r="E235" i="3"/>
  <c r="AL6" i="3"/>
  <c r="E309" i="3"/>
  <c r="E233" i="3"/>
  <c r="E310" i="3"/>
  <c r="E64" i="3"/>
  <c r="E389" i="3"/>
  <c r="E95" i="3"/>
  <c r="E554" i="3"/>
  <c r="E442" i="3"/>
  <c r="E536" i="3"/>
  <c r="E40" i="3"/>
  <c r="E498" i="3"/>
  <c r="E490" i="3"/>
  <c r="E486" i="3"/>
  <c r="E493" i="3"/>
  <c r="E223" i="3"/>
  <c r="E83" i="3"/>
  <c r="E370" i="3"/>
  <c r="E342" i="3"/>
  <c r="E78" i="3"/>
  <c r="E243" i="3"/>
  <c r="E104" i="3"/>
  <c r="E452" i="3"/>
  <c r="E451" i="3"/>
  <c r="E405" i="3"/>
  <c r="E140" i="3"/>
  <c r="E113" i="3"/>
  <c r="E34" i="3"/>
  <c r="E96" i="3"/>
  <c r="E281" i="3"/>
  <c r="E81" i="3"/>
  <c r="E33" i="3"/>
  <c r="E249" i="3"/>
  <c r="E484" i="3"/>
  <c r="E292" i="3"/>
  <c r="E479" i="3"/>
  <c r="E255" i="3"/>
  <c r="E499" i="3"/>
  <c r="T40" i="71"/>
  <c r="D40" i="71"/>
  <c r="D56" i="71"/>
  <c r="T56" i="71"/>
  <c r="E3" i="6"/>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29" i="3"/>
  <c r="E75" i="3"/>
  <c r="E332" i="3"/>
  <c r="E21" i="3"/>
  <c r="E264" i="3"/>
  <c r="E381" i="3"/>
  <c r="E144" i="3"/>
  <c r="E23" i="3"/>
  <c r="E300" i="3"/>
  <c r="E103" i="3"/>
  <c r="E425" i="3"/>
  <c r="E76" i="3"/>
  <c r="E363" i="3"/>
  <c r="E192" i="3"/>
  <c r="E56" i="3"/>
  <c r="E435" i="3"/>
  <c r="I3" i="6"/>
  <c r="E541" i="3"/>
  <c r="R6" i="3"/>
  <c r="E1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F41" i="15"/>
  <c r="W10" i="40" l="1"/>
  <c r="C29" i="68"/>
  <c r="D27" i="68" s="1"/>
  <c r="C47" i="68"/>
  <c r="D45" i="68" s="1"/>
  <c r="V2" i="43"/>
  <c r="C6" i="69"/>
  <c r="C7" i="69" s="1"/>
  <c r="AB10" i="39"/>
  <c r="F25" i="12"/>
  <c r="C26" i="12" s="1"/>
  <c r="D25" i="12" s="1"/>
  <c r="F22" i="68"/>
  <c r="C44" i="68" s="1"/>
  <c r="D41" i="68" s="1"/>
  <c r="AC6" i="3"/>
  <c r="E6" i="3"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H25" i="6" l="1"/>
  <c r="F41" i="68"/>
  <c r="C26" i="68"/>
  <c r="D22" i="68" s="1"/>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G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C19" i="9"/>
  <c r="D2" i="34"/>
  <c r="D2" i="37"/>
  <c r="D2" i="35"/>
  <c r="L51" i="15"/>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C20" i="9"/>
  <c r="AO11" i="1"/>
  <c r="AO6" i="1"/>
  <c r="AO8" i="1"/>
  <c r="D20" i="9"/>
  <c r="AO12" i="1"/>
  <c r="AO9" i="1"/>
  <c r="AO10"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119" i="9" s="1"/>
  <c r="H5" i="52" s="1"/>
  <c r="H102" i="9"/>
  <c r="D7" i="53" s="1"/>
  <c r="B21" i="72" s="1"/>
  <c r="E118" i="9"/>
  <c r="I4" i="52"/>
  <c r="F118" i="9"/>
  <c r="C104" i="9" l="1"/>
  <c r="H4" i="52"/>
  <c r="H101" i="9"/>
  <c r="F4" i="52"/>
  <c r="B51" i="72" s="1"/>
  <c r="F119" i="9"/>
  <c r="F5" i="52" s="1"/>
  <c r="B53" i="72" s="1"/>
  <c r="D118" i="9"/>
  <c r="E4" i="52"/>
  <c r="B48" i="72" s="1"/>
  <c r="H107" i="9" l="1"/>
  <c r="D14" i="74"/>
  <c r="G14" i="74" s="1"/>
  <c r="B6" i="74" s="1"/>
  <c r="D6" i="74" s="1"/>
  <c r="D5" i="53"/>
  <c r="M48" i="9"/>
  <c r="D45" i="9"/>
  <c r="C64" i="9" s="1"/>
  <c r="C63" i="9" s="1"/>
  <c r="C67" i="9" s="1"/>
  <c r="D4" i="52"/>
  <c r="B47" i="72" s="1"/>
  <c r="D119" i="9"/>
  <c r="D5" i="52" s="1"/>
  <c r="B49" i="72" s="1"/>
  <c r="M49" i="9"/>
  <c r="D122" i="9"/>
  <c r="H108" i="9"/>
  <c r="D13" i="53"/>
  <c r="D6" i="53"/>
  <c r="B22" i="72" s="1"/>
  <c r="B20" i="72"/>
  <c r="C85" i="9" l="1"/>
  <c r="C93" i="9"/>
  <c r="C86" i="9" s="1"/>
  <c r="C78" i="9"/>
  <c r="C73" i="9" s="1"/>
  <c r="D53" i="9"/>
  <c r="D52" i="9"/>
  <c r="B5" i="74"/>
  <c r="D5" i="74" s="1"/>
  <c r="C72" i="9"/>
  <c r="F14" i="74"/>
  <c r="E14" i="74"/>
  <c r="D55" i="9"/>
  <c r="M53" i="9" s="1"/>
  <c r="D15" i="53"/>
  <c r="B31" i="72" s="1"/>
  <c r="C6" i="74"/>
  <c r="D59" i="9"/>
  <c r="M55" i="9" s="1"/>
  <c r="C68" i="9"/>
  <c r="D54" i="9" s="1"/>
  <c r="D123" i="9"/>
  <c r="D9" i="52" s="1"/>
  <c r="D8" i="52"/>
  <c r="L64" i="9"/>
  <c r="M64" i="9" s="1"/>
  <c r="L66" i="9"/>
  <c r="M66" i="9" s="1"/>
  <c r="L65" i="9"/>
  <c r="M65" i="9" s="1"/>
  <c r="L68" i="9"/>
  <c r="M68" i="9" s="1"/>
  <c r="L63" i="9"/>
  <c r="M63" i="9" s="1"/>
  <c r="L67" i="9"/>
  <c r="M67" i="9" s="1"/>
  <c r="D14" i="53"/>
  <c r="B32" i="72" s="1"/>
  <c r="B30" i="72"/>
  <c r="C79" i="9" l="1"/>
  <c r="C5" i="74"/>
  <c r="C95" i="9"/>
  <c r="C96" i="9" s="1"/>
  <c r="E96" i="9" s="1"/>
  <c r="E97" i="9" s="1"/>
  <c r="M69" i="9"/>
  <c r="N69" i="9" s="1"/>
  <c r="C80" i="9"/>
  <c r="E80" i="9" s="1"/>
  <c r="E81" i="9" s="1"/>
  <c r="C81" i="9" l="1"/>
  <c r="C97" i="9"/>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<sst xmlns="http://schemas.openxmlformats.org/spreadsheetml/2006/main" count="7975" uniqueCount="3509">
  <si>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</si>
  <si>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</si>
  <si>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</si>
  <si>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</si>
  <si>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</si>
  <si>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</si>
  <si>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</si>
  <si>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</si>
  <si>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</si>
  <si>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</si>
  <si>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</si>
  <si>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</si>
  <si>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</si>
  <si>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</si>
  <si>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</si>
  <si>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</si>
  <si>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</si>
  <si>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</si>
  <si>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</si>
  <si>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</si>
  <si>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</si>
  <si>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</si>
  <si>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</si>
  <si>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</si>
  <si>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</si>
  <si>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</si>
  <si>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</si>
  <si>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</si>
  <si>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</si>
  <si>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</si>
  <si>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</si>
  <si>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</si>
  <si>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</si>
  <si>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</si>
  <si>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</si>
  <si>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</si>
  <si>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</si>
  <si>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</si>
  <si>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</si>
  <si>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</si>
  <si>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</si>
  <si>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</si>
  <si>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</si>
  <si>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</si>
  <si>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</si>
  <si>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</si>
  <si>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</si>
  <si>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</si>
  <si>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</si>
  <si>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</si>
  <si>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</si>
  <si>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</si>
  <si>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</si>
  <si>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</si>
  <si>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</si>
  <si>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</si>
  <si>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</si>
  <si>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</si>
  <si>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</si>
  <si>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</si>
  <si>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</si>
  <si>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</si>
  <si>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</si>
  <si>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</si>
  <si>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</si>
  <si>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</si>
  <si>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</si>
  <si>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</si>
  <si>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</si>
  <si>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</si>
  <si>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</si>
  <si>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</si>
  <si>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</si>
  <si>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</si>
  <si>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</si>
  <si>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</si>
  <si>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</si>
  <si>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</si>
  <si>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</si>
  <si>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</si>
  <si>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</si>
  <si>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</si>
  <si>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</si>
  <si>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</si>
  <si>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</si>
  <si>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</si>
  <si>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</si>
  <si>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</si>
  <si>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</si>
  <si>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</si>
  <si>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</si>
  <si>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</si>
  <si>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</si>
  <si>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</si>
  <si>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</si>
  <si>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</si>
  <si>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</si>
  <si>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</si>
  <si>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</si>
  <si>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</si>
  <si>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</si>
  <si>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</si>
  <si>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</si>
  <si>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</si>
  <si>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</si>
  <si>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</si>
  <si>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</si>
  <si>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</si>
  <si>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</si>
  <si>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</si>
  <si>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</si>
  <si>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</si>
  <si>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</si>
  <si>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</si>
  <si>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</si>
  <si>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</si>
  <si>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</si>
  <si>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</si>
  <si>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</si>
  <si>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</si>
  <si>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</si>
  <si>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</si>
  <si>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</si>
  <si>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</si>
  <si>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</si>
  <si>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</si>
  <si>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</si>
  <si>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</si>
  <si>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</si>
  <si>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</si>
  <si>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</si>
  <si>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</si>
  <si>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</si>
  <si>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</si>
  <si>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</si>
  <si>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</si>
  <si>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</si>
  <si>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</si>
  <si>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</si>
  <si>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</si>
  <si>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</si>
  <si>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</si>
  <si>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</si>
  <si>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</si>
  <si>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</si>
  <si>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</si>
  <si>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</si>
  <si>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</si>
  <si>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</si>
  <si>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</si>
  <si>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</si>
  <si>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</si>
  <si>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</si>
  <si>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</si>
  <si>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</si>
  <si>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</si>
  <si>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</si>
  <si>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</si>
  <si>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</si>
  <si>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</si>
  <si>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</si>
  <si>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</si>
  <si>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</si>
  <si>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</si>
  <si>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</si>
  <si>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</si>
  <si>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</si>
  <si>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</si>
  <si>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</si>
  <si>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</si>
  <si>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</si>
  <si>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</si>
  <si>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</si>
  <si>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</si>
  <si>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</si>
  <si>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</si>
  <si>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</si>
  <si>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</si>
  <si>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</si>
  <si>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</si>
  <si>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</si>
  <si>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</si>
  <si>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</si>
  <si>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</si>
  <si>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</si>
  <si>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</si>
  <si>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</si>
  <si>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</si>
  <si>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</si>
  <si>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</si>
  <si>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</si>
  <si>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</si>
  <si>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</si>
  <si>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</si>
  <si>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</si>
  <si>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</si>
  <si>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</si>
  <si>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</si>
  <si>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</si>
  <si>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</si>
  <si>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</si>
  <si>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</si>
  <si>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</si>
  <si>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</si>
  <si>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</si>
  <si>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</si>
  <si>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</si>
  <si>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</si>
  <si>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</si>
  <si>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</si>
  <si>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</si>
  <si>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</si>
  <si>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</si>
  <si>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</si>
  <si>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</si>
  <si>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</si>
  <si>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</si>
  <si>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</si>
  <si>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</si>
  <si>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</si>
  <si>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</si>
  <si>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</si>
  <si>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</si>
  <si>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</si>
  <si>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</si>
  <si>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</si>
  <si>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</si>
  <si>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</si>
  <si>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</si>
  <si>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</si>
  <si>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</si>
  <si>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</si>
  <si>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</si>
  <si>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</si>
  <si>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</si>
  <si>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</si>
  <si>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</si>
  <si>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</si>
  <si>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</si>
  <si>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</si>
  <si>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</si>
  <si>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</si>
  <si>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</si>
  <si>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</si>
  <si>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</si>
  <si>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</si>
  <si>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</si>
  <si>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</si>
  <si>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</si>
  <si>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</si>
  <si>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</si>
  <si>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</si>
  <si>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</si>
  <si>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</si>
  <si>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</si>
  <si>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</si>
  <si>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</si>
  <si>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</si>
  <si>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</si>
  <si>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</si>
  <si>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</si>
  <si>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</si>
  <si>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</si>
  <si>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</si>
  <si>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</si>
  <si>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</si>
  <si>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</si>
  <si>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</si>
  <si>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</si>
  <si>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</si>
  <si>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</si>
  <si>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</si>
  <si>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</si>
  <si>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</si>
  <si>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</si>
  <si>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</si>
  <si>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</si>
  <si>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</si>
  <si>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</si>
  <si>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</si>
  <si>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</si>
  <si>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</si>
  <si>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</si>
  <si>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</si>
  <si>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</si>
  <si>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</si>
  <si>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</si>
  <si>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</si>
  <si>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</si>
  <si>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</si>
  <si>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</si>
  <si>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</si>
  <si>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</si>
  <si>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</si>
  <si>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</si>
  <si>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</si>
  <si>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</si>
  <si>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</si>
  <si>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</si>
  <si>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</si>
  <si>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</si>
  <si>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</si>
  <si>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</si>
  <si>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</si>
  <si>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</si>
  <si>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</si>
  <si>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</si>
  <si>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</si>
  <si>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</si>
  <si>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</si>
  <si>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</si>
  <si>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</si>
  <si>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</si>
  <si>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</si>
  <si>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</si>
  <si>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</si>
  <si>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</si>
  <si>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</si>
  <si>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</si>
  <si>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</si>
  <si>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</si>
  <si>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</si>
  <si>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</si>
  <si>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</si>
  <si>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</si>
  <si>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</si>
  <si>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</si>
  <si>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</si>
  <si>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</si>
  <si>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</si>
  <si>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</si>
  <si>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</si>
  <si>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</si>
  <si>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</si>
  <si>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</si>
  <si>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</si>
  <si>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</si>
  <si>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</si>
  <si>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</si>
  <si>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</si>
  <si>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</si>
  <si>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</si>
  <si>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</si>
  <si>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</si>
  <si>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</si>
  <si>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</si>
  <si>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</si>
  <si>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</si>
  <si>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</si>
  <si>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</si>
  <si>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</si>
  <si>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</si>
  <si>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</si>
  <si>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</si>
  <si>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</si>
  <si>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</si>
  <si>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</si>
  <si>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</si>
  <si>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</si>
  <si>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</si>
  <si>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</si>
  <si>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</si>
  <si>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</si>
  <si>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</si>
  <si>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</si>
  <si>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</si>
  <si>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</si>
  <si>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</si>
  <si>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</si>
  <si>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</si>
  <si>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</si>
  <si>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</si>
  <si>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</si>
  <si>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</si>
  <si>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</si>
  <si>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</si>
  <si>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</si>
  <si>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</si>
  <si>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</si>
  <si>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</si>
  <si>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</si>
  <si>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</si>
  <si>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</si>
  <si>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</si>
  <si>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</si>
  <si>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</si>
  <si>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</si>
  <si>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</si>
  <si>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</si>
  <si>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</si>
  <si>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</si>
  <si>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</si>
  <si>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</si>
  <si>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</si>
  <si>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</si>
  <si>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</si>
  <si>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</si>
  <si>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</si>
  <si>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</si>
  <si>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</si>
  <si>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</si>
  <si>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</si>
  <si>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</si>
  <si>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</si>
  <si>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</si>
  <si>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</si>
  <si>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</si>
  <si>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</si>
  <si>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</si>
  <si>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</si>
  <si>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</si>
  <si>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</si>
  <si>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</si>
  <si>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</si>
  <si>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</si>
  <si>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</si>
  <si>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</si>
  <si>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</si>
  <si>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</si>
  <si>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</si>
  <si>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</si>
  <si>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</si>
  <si>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</si>
  <si>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</si>
  <si>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</si>
  <si>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</si>
  <si>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</si>
  <si>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</si>
  <si>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</si>
  <si>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</si>
  <si>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</si>
  <si>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</si>
  <si>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</si>
  <si>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</si>
  <si>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</si>
  <si>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</si>
  <si>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</si>
  <si>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</si>
  <si>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</si>
  <si>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</si>
  <si>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</si>
  <si>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</si>
  <si>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</si>
  <si>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</si>
  <si>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</si>
  <si>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</si>
  <si>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</si>
  <si>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</si>
  <si>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</si>
  <si>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</si>
  <si>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</si>
  <si>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</si>
  <si>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</si>
  <si>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</si>
  <si>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</si>
  <si>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</si>
  <si>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</si>
  <si>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</si>
  <si>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</si>
  <si>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</si>
  <si>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</si>
  <si>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</si>
  <si>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</si>
  <si>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</si>
  <si>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</si>
  <si>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</si>
  <si>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</si>
  <si>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</si>
  <si>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</si>
  <si>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</si>
  <si>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</si>
  <si>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</si>
  <si>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</si>
  <si>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</si>
  <si>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</si>
  <si>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</si>
  <si>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</si>
  <si>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</si>
  <si>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</si>
  <si>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</si>
  <si>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</si>
  <si>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</si>
  <si>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</si>
  <si>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</si>
  <si>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</si>
  <si>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</si>
  <si>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</si>
  <si>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</si>
  <si>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</si>
  <si>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</si>
  <si>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</si>
  <si>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</si>
  <si>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</si>
  <si>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</si>
  <si>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</si>
  <si>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</si>
  <si>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</si>
  <si>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</si>
  <si>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</si>
  <si>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</si>
  <si>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</si>
  <si>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</si>
  <si>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</si>
  <si>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</si>
  <si>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</si>
  <si>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</si>
  <si>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</si>
  <si>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</si>
  <si>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</si>
  <si>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</si>
  <si>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</si>
  <si>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</si>
  <si>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</si>
  <si>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</si>
  <si>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</si>
  <si>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</si>
  <si>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</si>
  <si>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</si>
  <si>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</si>
  <si>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</si>
  <si>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</si>
  <si>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</si>
  <si>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</si>
  <si>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</si>
  <si>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</si>
  <si>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</si>
  <si>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</si>
  <si>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</si>
  <si>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</si>
  <si>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</si>
  <si>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</si>
  <si>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</si>
  <si>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</si>
  <si>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</si>
  <si>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</si>
  <si>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</si>
  <si>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</si>
  <si>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</si>
  <si>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</si>
  <si>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</si>
  <si>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</si>
  <si>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</si>
  <si>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</si>
  <si>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</si>
  <si>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</si>
  <si>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</si>
  <si>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</si>
  <si>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</si>
  <si>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</si>
  <si>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</si>
  <si>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</si>
  <si>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</si>
  <si>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</si>
  <si>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</si>
  <si>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</si>
  <si>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</si>
  <si>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</si>
  <si>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</si>
  <si>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</si>
  <si>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</si>
  <si>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</si>
  <si>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</si>
  <si>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</si>
  <si>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</si>
  <si>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</si>
  <si>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</si>
  <si>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</si>
  <si>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</si>
  <si>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</si>
  <si>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</si>
  <si>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</si>
  <si>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</si>
  <si>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</si>
  <si>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</si>
  <si>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</si>
  <si>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</si>
  <si>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</si>
  <si>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</si>
  <si>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</si>
  <si>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</si>
  <si>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</si>
  <si>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</si>
  <si>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</si>
  <si>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</si>
  <si>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</si>
  <si>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</si>
  <si>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</si>
  <si>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</si>
  <si>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</si>
  <si>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</si>
  <si>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</si>
  <si>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</si>
  <si>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</si>
  <si>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</si>
  <si>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</si>
  <si>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</si>
  <si>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</si>
  <si>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</si>
  <si>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</si>
  <si>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</si>
  <si>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</si>
  <si>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</si>
  <si>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</si>
  <si>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</si>
  <si>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</si>
  <si>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</si>
  <si>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</si>
  <si>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</si>
  <si>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</si>
  <si>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</si>
  <si>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</si>
  <si>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</si>
  <si>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</si>
  <si>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</si>
  <si>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</si>
  <si>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</si>
  <si>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</si>
  <si>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</si>
  <si>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</si>
  <si>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</si>
  <si>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</si>
  <si>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</si>
  <si>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</si>
  <si>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</si>
  <si>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</si>
  <si>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</si>
  <si>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</si>
  <si>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</si>
  <si>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</si>
  <si>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</si>
  <si>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</si>
  <si>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</si>
  <si>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</si>
  <si>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</si>
  <si>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</si>
  <si>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</si>
  <si>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</si>
  <si>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</si>
  <si>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</si>
  <si>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</si>
  <si>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</si>
  <si>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</si>
  <si>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</si>
  <si>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</si>
  <si>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</si>
  <si>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</si>
  <si>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</si>
  <si>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</si>
  <si>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</si>
  <si>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</si>
  <si>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</si>
  <si>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</si>
  <si>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</si>
  <si>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</si>
  <si>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</si>
  <si>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</si>
  <si>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</si>
  <si>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</si>
  <si>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</si>
  <si>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</si>
  <si>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</si>
  <si>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</si>
  <si>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</si>
  <si>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</si>
  <si>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</si>
  <si>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</si>
  <si>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</si>
  <si>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</si>
  <si>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</si>
  <si>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</si>
  <si>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</si>
  <si>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</si>
  <si>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</si>
  <si>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</si>
  <si>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</si>
  <si>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</si>
  <si>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</si>
  <si>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</si>
  <si>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</si>
  <si>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</si>
  <si>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</si>
  <si>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</si>
  <si>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</si>
  <si>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</si>
  <si>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</si>
  <si>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</si>
  <si>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</si>
  <si>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</si>
  <si>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</si>
  <si>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</si>
  <si>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</si>
  <si>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</si>
  <si>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</si>
  <si>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</si>
  <si>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</si>
  <si>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</si>
  <si>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</si>
  <si>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</si>
  <si>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</si>
  <si>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</si>
  <si>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</si>
  <si>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</si>
  <si>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</si>
  <si>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</si>
  <si>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</si>
  <si>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</si>
  <si>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</si>
  <si>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</si>
  <si>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</si>
  <si>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</si>
  <si>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</si>
  <si>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</si>
  <si>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</si>
  <si>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</si>
  <si>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</si>
  <si>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</si>
  <si>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</si>
  <si>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</si>
  <si>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</si>
  <si>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</si>
  <si>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</si>
  <si>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</si>
  <si>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</si>
  <si>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</si>
  <si>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</si>
  <si>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</si>
  <si>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</si>
  <si>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</si>
  <si>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</si>
  <si>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</si>
  <si>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</si>
  <si>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</si>
  <si>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</si>
  <si>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</si>
  <si>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</si>
  <si>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</si>
  <si>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</si>
  <si>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</si>
  <si>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</si>
  <si>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</si>
  <si>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</si>
  <si>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</si>
  <si>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</si>
  <si>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</si>
  <si>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</si>
  <si>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</si>
  <si>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</si>
  <si>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</si>
  <si>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</si>
  <si>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</si>
  <si>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</si>
  <si>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</si>
  <si>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</si>
  <si>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</si>
  <si>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</si>
  <si>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</si>
  <si>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</si>
  <si>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</si>
  <si>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</si>
  <si>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</si>
  <si>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</si>
  <si>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</si>
  <si>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</si>
  <si>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</si>
  <si>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</si>
  <si>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</si>
  <si>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</si>
  <si>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</si>
  <si>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</si>
  <si>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</si>
  <si>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</si>
  <si>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</si>
  <si>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</si>
  <si>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</si>
  <si>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</si>
  <si>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</si>
  <si>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</si>
  <si>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</si>
  <si>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</si>
  <si>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</si>
  <si>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</si>
  <si>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</si>
  <si>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</si>
  <si>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</si>
  <si>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</si>
  <si>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</si>
  <si>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</si>
  <si>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</si>
  <si>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</si>
  <si>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</si>
  <si>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</si>
  <si>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</si>
  <si>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</si>
  <si>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</si>
  <si>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</si>
  <si>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</si>
  <si>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</si>
  <si>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</si>
  <si>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</si>
  <si>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</si>
  <si>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</si>
  <si>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</si>
  <si>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</si>
  <si>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</si>
  <si>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</si>
  <si>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</si>
  <si>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</si>
  <si>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</si>
  <si>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</si>
  <si>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</si>
  <si>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</si>
  <si>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</si>
  <si>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</si>
  <si>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</si>
  <si>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</si>
  <si>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</si>
  <si>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</si>
  <si>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</si>
  <si>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</si>
  <si>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</si>
  <si>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</si>
  <si>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</si>
  <si>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</si>
  <si>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</si>
  <si>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</si>
  <si>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</si>
  <si>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</si>
  <si>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</si>
  <si>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</si>
  <si>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</si>
  <si>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</si>
  <si>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</si>
  <si>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</si>
  <si>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</si>
  <si>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</si>
  <si>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</si>
  <si>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</si>
  <si>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</si>
  <si>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</si>
  <si>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</si>
  <si>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</si>
  <si>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</si>
  <si>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</si>
  <si>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</si>
  <si>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</si>
  <si>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</si>
  <si>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</si>
  <si>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</si>
  <si>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</si>
  <si>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</si>
  <si>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</si>
  <si>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</si>
  <si>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</si>
  <si>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</si>
  <si>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</si>
  <si>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</si>
  <si>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</si>
  <si>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</si>
  <si>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</si>
  <si>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</si>
  <si>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</si>
  <si>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</si>
  <si>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</si>
  <si>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</si>
  <si>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</si>
  <si>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</si>
  <si>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</si>
  <si>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</si>
  <si>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</si>
  <si>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</si>
  <si>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</si>
  <si>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</si>
  <si>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</si>
  <si>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</si>
  <si>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</si>
  <si>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</si>
  <si>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</si>
  <si>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</si>
  <si>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</si>
  <si>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</si>
  <si>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</si>
  <si>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</si>
  <si>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</si>
  <si>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</si>
  <si>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</si>
  <si>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</si>
  <si>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</si>
  <si>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</si>
  <si>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</si>
  <si>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</si>
  <si>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</si>
  <si>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</si>
  <si>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</si>
  <si>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</si>
  <si>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</si>
  <si>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</si>
  <si>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</si>
  <si>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</si>
  <si>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</si>
  <si>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</si>
  <si>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</si>
  <si>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</si>
  <si>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</si>
  <si>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</si>
  <si>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</si>
  <si>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</si>
  <si>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</si>
  <si>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</si>
  <si>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</si>
  <si>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</si>
  <si>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</si>
  <si>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</si>
  <si>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</si>
  <si>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</si>
  <si>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</si>
  <si>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</si>
  <si>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</si>
  <si>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</si>
  <si>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</si>
  <si>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</si>
  <si>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</si>
  <si>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</si>
  <si>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</si>
  <si>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</si>
  <si>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</si>
  <si>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</si>
  <si>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</si>
  <si>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</si>
  <si>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</si>
  <si>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</si>
  <si>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</si>
  <si>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</si>
  <si>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</si>
  <si>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</si>
  <si>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</si>
  <si>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</si>
  <si>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</si>
  <si>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</si>
  <si>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</si>
  <si>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</si>
  <si>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</si>
  <si>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</si>
  <si>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</si>
  <si>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</si>
  <si>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</si>
  <si>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</si>
  <si>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</si>
  <si>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</si>
  <si>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</si>
  <si>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</si>
  <si>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</si>
  <si>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</si>
  <si>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</si>
  <si>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</si>
  <si>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</si>
  <si>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</si>
  <si>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</si>
  <si>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</si>
  <si>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</si>
  <si>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</si>
  <si>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</si>
  <si>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</si>
  <si>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</si>
  <si>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</si>
  <si>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</si>
  <si>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</si>
  <si>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</si>
  <si>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</si>
  <si>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</si>
  <si>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</si>
  <si>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</si>
  <si>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</si>
  <si>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</si>
  <si>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</si>
  <si>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</si>
  <si>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</si>
  <si>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</si>
  <si>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</si>
  <si>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</si>
  <si>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</si>
  <si>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</si>
  <si>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</si>
  <si>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</si>
  <si>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</si>
  <si>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</si>
  <si>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</si>
  <si>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</si>
  <si>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</si>
  <si>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</si>
  <si>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</si>
  <si>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</si>
  <si>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</si>
  <si>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</si>
  <si>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</si>
  <si>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</si>
  <si>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</si>
  <si>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</si>
  <si>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</si>
  <si>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</si>
  <si>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</si>
  <si>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</si>
  <si>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</si>
  <si>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</si>
  <si>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</si>
  <si>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</si>
  <si>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</si>
  <si>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</si>
  <si>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</si>
  <si>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</si>
  <si>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</si>
  <si>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</si>
  <si>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</si>
  <si>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</si>
  <si>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</si>
  <si>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</si>
  <si>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</si>
  <si>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</si>
  <si>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</si>
  <si>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</si>
  <si>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</si>
  <si>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</si>
  <si>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</si>
  <si>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</si>
  <si>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</si>
  <si>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</si>
  <si>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</si>
  <si>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</si>
  <si>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</si>
  <si>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</si>
  <si>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</si>
  <si>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</si>
  <si>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</si>
  <si>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</si>
  <si>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</si>
  <si>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</si>
  <si>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</si>
  <si>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</si>
  <si>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</si>
  <si>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</si>
  <si>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</si>
  <si>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</si>
  <si>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</si>
  <si>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</si>
  <si>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</si>
  <si>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</si>
  <si>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</si>
  <si>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</si>
  <si>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</si>
  <si>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</si>
  <si>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</si>
  <si>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</si>
  <si>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</si>
  <si>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</si>
  <si>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</si>
  <si>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</si>
  <si>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</si>
  <si>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</si>
  <si>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</si>
  <si>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</si>
  <si>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</si>
  <si>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</si>
  <si>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</si>
  <si>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</si>
  <si>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</si>
  <si>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</si>
  <si>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</si>
  <si>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</si>
  <si>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</si>
  <si>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</si>
  <si>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</si>
  <si>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</si>
  <si>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</si>
  <si>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</si>
  <si>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</si>
  <si>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</si>
  <si>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</si>
  <si>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</si>
  <si>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</si>
  <si>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</si>
  <si>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</si>
  <si>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</si>
  <si>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</si>
  <si>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</si>
  <si>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</si>
  <si>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</si>
  <si>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</si>
  <si>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</si>
  <si>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</si>
  <si>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</si>
  <si>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</si>
  <si>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</si>
  <si>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</si>
  <si>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</si>
  <si>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</si>
  <si>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</si>
  <si>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</si>
  <si>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</si>
  <si>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</si>
  <si>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</si>
  <si>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</si>
  <si>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</si>
  <si>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</si>
  <si>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</si>
  <si>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</si>
  <si>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</si>
  <si>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</si>
  <si>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</si>
  <si>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</si>
  <si>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</si>
  <si>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</si>
  <si>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</si>
  <si>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</si>
  <si>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</si>
  <si>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</si>
  <si>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</si>
  <si>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</si>
  <si>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</si>
  <si>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</si>
  <si>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</si>
  <si>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</si>
  <si>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</si>
  <si>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</si>
  <si>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</si>
  <si>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</si>
  <si>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</si>
  <si>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</si>
  <si>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</si>
  <si>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</si>
  <si>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</si>
  <si>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</si>
  <si>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</si>
  <si>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</si>
  <si>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</si>
  <si>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</si>
  <si>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</si>
  <si>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</si>
  <si>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</si>
  <si>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</si>
  <si>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</si>
  <si>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</si>
  <si>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</si>
  <si>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</si>
  <si>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</si>
  <si>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</si>
  <si>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</si>
  <si>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</si>
  <si>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</si>
  <si>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</si>
  <si>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</si>
  <si>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</si>
  <si>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</si>
  <si>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</si>
  <si>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</si>
  <si>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</si>
  <si>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</si>
  <si>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</si>
  <si>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</si>
  <si>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</si>
  <si>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</si>
  <si>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</si>
  <si>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</si>
  <si>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</si>
  <si>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</si>
  <si>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</si>
  <si>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</si>
  <si>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</si>
  <si>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</si>
  <si>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</si>
  <si>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</si>
  <si>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</si>
  <si>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</si>
  <si>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</si>
  <si>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</si>
  <si>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</si>
  <si>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</si>
  <si>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</si>
  <si>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</si>
  <si>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</si>
  <si>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</si>
  <si>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</si>
  <si>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</si>
  <si>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</si>
  <si>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</si>
  <si>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</si>
  <si>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</si>
  <si>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</si>
  <si>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</si>
  <si>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</si>
  <si>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</si>
  <si>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</si>
  <si>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</si>
  <si>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</si>
  <si>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</si>
  <si>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</si>
  <si>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</si>
  <si>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</si>
  <si>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</si>
  <si>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</si>
  <si>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</si>
  <si>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</si>
  <si>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</si>
  <si>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</si>
  <si>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</si>
  <si>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</si>
  <si>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</si>
  <si>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</si>
  <si>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</si>
  <si>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</si>
  <si>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</si>
  <si>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</si>
  <si>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</si>
  <si>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</si>
  <si>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</si>
  <si>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</si>
  <si>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</si>
  <si>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</si>
  <si>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</si>
  <si>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</si>
  <si>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</si>
  <si>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</si>
  <si>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</si>
  <si>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</si>
  <si>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</si>
  <si>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</si>
  <si>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</si>
  <si>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</si>
  <si>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</si>
  <si>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</si>
  <si>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</si>
  <si>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</si>
  <si>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</si>
  <si>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</si>
  <si>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</si>
  <si>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</si>
  <si>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</si>
  <si>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</si>
  <si>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</si>
  <si>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</si>
  <si>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</si>
  <si>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</si>
  <si>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</si>
  <si>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</si>
  <si>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</si>
  <si>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</si>
  <si>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</si>
  <si>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</si>
  <si>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</si>
  <si>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</si>
  <si>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</si>
  <si>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</si>
  <si>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</si>
  <si>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</si>
  <si>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</si>
  <si>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</si>
  <si>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</si>
  <si>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</si>
  <si>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</si>
  <si>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</si>
  <si>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</si>
  <si>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</si>
  <si>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</si>
  <si>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</si>
  <si>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</si>
  <si>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</si>
  <si>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</si>
  <si>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</si>
  <si>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</si>
  <si>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</si>
  <si>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</si>
  <si>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</si>
  <si>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</si>
  <si>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</si>
  <si>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</si>
  <si>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</si>
  <si>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</si>
  <si>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</si>
  <si>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</si>
  <si>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</si>
  <si>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</si>
  <si>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</si>
  <si>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</si>
  <si>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</si>
  <si>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</si>
  <si>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</si>
  <si>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</si>
  <si>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</si>
  <si>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</si>
  <si>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</si>
  <si>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</si>
  <si>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</si>
  <si>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</si>
  <si>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</si>
  <si>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</si>
  <si>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</si>
  <si>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</si>
  <si>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</si>
  <si>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</si>
  <si>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</si>
  <si>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</si>
  <si>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</si>
  <si>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</si>
  <si>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</si>
  <si>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</si>
  <si>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</si>
  <si>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</si>
  <si>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</si>
  <si>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</si>
  <si>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</si>
  <si>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</si>
  <si>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</si>
  <si>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</si>
  <si>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</si>
  <si>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</si>
  <si>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</si>
  <si>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</si>
  <si>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</si>
  <si>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</si>
  <si>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</si>
  <si>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</si>
  <si>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</si>
  <si>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</si>
  <si>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</si>
  <si>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</si>
  <si>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</si>
  <si>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</si>
  <si>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</si>
  <si>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</si>
  <si>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</si>
  <si>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</si>
  <si>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</si>
  <si>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</si>
  <si>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</si>
  <si>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</si>
  <si>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</si>
  <si>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</si>
  <si>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</si>
  <si>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</si>
  <si>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</si>
  <si>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</si>
  <si>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</si>
  <si>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</si>
  <si>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</si>
  <si>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</si>
  <si>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</si>
  <si>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</si>
  <si>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</si>
  <si>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</si>
  <si>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</si>
  <si>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</si>
  <si>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</si>
  <si>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</si>
  <si>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</si>
  <si>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</si>
  <si>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</si>
  <si>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</si>
  <si>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</si>
  <si>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</si>
  <si>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</si>
  <si>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</si>
  <si>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</si>
  <si>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</si>
  <si>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</si>
  <si>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</si>
  <si>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</si>
  <si>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</si>
  <si>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</si>
  <si>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</si>
  <si>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</si>
  <si>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</si>
  <si>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</si>
  <si>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</si>
  <si>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</si>
  <si>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</si>
  <si>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</si>
  <si>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</si>
  <si>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</si>
  <si>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</si>
  <si>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</si>
  <si>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</si>
  <si>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</si>
  <si>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</si>
  <si>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</si>
  <si>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</si>
  <si>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</si>
  <si>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</si>
  <si>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</si>
  <si>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</si>
  <si>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</si>
  <si>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</si>
  <si>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</si>
  <si>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</si>
  <si>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</si>
  <si>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</si>
  <si>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</si>
  <si>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</si>
  <si>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</si>
  <si>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</si>
  <si>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</si>
  <si>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</si>
  <si>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</si>
  <si>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</si>
  <si>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</si>
  <si>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</si>
  <si>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</si>
  <si>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</si>
  <si>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</si>
  <si>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</si>
  <si>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</si>
  <si>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</si>
  <si>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</si>
  <si>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</si>
  <si>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</si>
  <si>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</si>
  <si>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</si>
  <si>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</si>
  <si>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</si>
  <si>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</si>
  <si>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</si>
  <si>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</si>
  <si>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</si>
  <si>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</si>
  <si>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</si>
  <si>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</si>
  <si>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</si>
  <si>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</si>
  <si>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</si>
  <si>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</si>
  <si>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</si>
  <si>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</si>
  <si>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</si>
  <si>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</si>
  <si>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</si>
  <si>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</si>
  <si>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</si>
  <si>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</si>
  <si>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</si>
  <si>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</si>
  <si>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</si>
  <si>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</si>
  <si>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</si>
  <si>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</si>
  <si>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</si>
  <si>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</si>
  <si>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</si>
  <si>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</si>
  <si>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</si>
  <si>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</si>
  <si>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</si>
  <si>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</si>
  <si>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</si>
  <si>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</si>
  <si>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</si>
  <si>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</si>
  <si>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</si>
  <si>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</si>
  <si>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</si>
  <si>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</si>
  <si>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</si>
  <si>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</si>
  <si>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</si>
  <si>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</si>
  <si>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</si>
  <si>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</si>
  <si>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</si>
  <si>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</si>
  <si>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</si>
  <si>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</si>
  <si>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</si>
  <si>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</si>
  <si>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</si>
  <si>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</si>
  <si>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</si>
  <si>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</si>
  <si>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</si>
  <si>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</si>
  <si>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</si>
  <si>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</si>
  <si>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</si>
  <si>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</si>
  <si>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</si>
  <si>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</si>
  <si>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</si>
  <si>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</si>
  <si>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</si>
  <si>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</si>
  <si>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</si>
  <si>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</si>
  <si>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</si>
  <si>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</si>
  <si>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</si>
  <si>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</si>
  <si>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</si>
  <si>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</si>
  <si>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</si>
  <si>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</si>
  <si>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</si>
  <si>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</si>
  <si>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</si>
  <si>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</si>
  <si>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</si>
  <si>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</si>
  <si>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</si>
  <si>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</si>
  <si>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</si>
  <si>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</si>
  <si>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</si>
  <si>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</si>
  <si>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</si>
  <si>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</si>
  <si>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</si>
  <si>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</si>
  <si>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</si>
  <si>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</si>
  <si>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</si>
  <si>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</si>
  <si>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</si>
  <si>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</si>
  <si>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</si>
  <si>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</si>
  <si>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</si>
  <si>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</si>
  <si>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</si>
  <si>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</si>
  <si>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</si>
  <si>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</si>
  <si>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</si>
  <si>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</si>
  <si>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</si>
  <si>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</si>
  <si>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</si>
  <si>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</si>
  <si>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</si>
  <si>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</si>
  <si>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</si>
  <si>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</si>
  <si>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</si>
  <si>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</si>
  <si>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</si>
  <si>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</si>
  <si>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</si>
  <si>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</si>
  <si>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</si>
  <si>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</si>
  <si>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</si>
  <si>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</si>
  <si>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</si>
  <si>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</si>
  <si>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</si>
  <si>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</si>
  <si>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</si>
  <si>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</si>
  <si>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</si>
  <si>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</si>
  <si>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</si>
  <si>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</si>
  <si>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</si>
  <si>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</si>
  <si>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</si>
  <si>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</si>
  <si>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</si>
  <si>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</si>
  <si>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</si>
  <si>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</si>
  <si>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</si>
  <si>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</si>
  <si>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</si>
  <si>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</si>
  <si>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</si>
  <si>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</si>
  <si>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</si>
  <si>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</si>
  <si>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</si>
  <si>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</si>
  <si>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</si>
  <si>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</si>
  <si>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</si>
  <si>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</si>
  <si>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</si>
  <si>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</si>
  <si>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</si>
  <si>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</si>
  <si>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</si>
  <si>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</si>
  <si>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</si>
  <si>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</si>
  <si>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</si>
  <si>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</si>
  <si>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</si>
  <si>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</si>
  <si>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</si>
  <si>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</si>
  <si>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</si>
  <si>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</si>
  <si>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</si>
  <si>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</si>
  <si>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</si>
  <si>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</si>
  <si>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</si>
  <si>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</si>
  <si>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</si>
  <si>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</si>
  <si>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</si>
  <si>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</si>
  <si>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</si>
  <si>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</si>
  <si>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</si>
  <si>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</si>
  <si>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</si>
  <si>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</si>
  <si>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</si>
  <si>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</si>
  <si>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</si>
  <si>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</si>
  <si>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</si>
  <si>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</si>
  <si>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</si>
  <si>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</si>
  <si>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</si>
  <si>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</si>
  <si>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</si>
  <si>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</si>
  <si>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</si>
  <si>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</si>
  <si>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</si>
  <si>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</si>
  <si>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</si>
  <si>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</si>
  <si>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</si>
  <si>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</si>
  <si>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</si>
  <si>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</si>
  <si>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</si>
  <si>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</si>
  <si>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</si>
  <si>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</si>
  <si>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</si>
  <si>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</si>
  <si>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</si>
  <si>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</si>
  <si>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</si>
  <si>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</si>
  <si>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</si>
  <si>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</si>
  <si>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</si>
  <si>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</si>
  <si>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</si>
  <si>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</si>
  <si>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</si>
  <si>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</si>
  <si>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</si>
  <si>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</si>
  <si>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</si>
  <si>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</si>
  <si>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</si>
  <si>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</si>
  <si>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</si>
  <si>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</si>
  <si>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</si>
  <si>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</si>
  <si>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</si>
  <si>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</si>
  <si>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</si>
  <si>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</si>
  <si>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</si>
  <si>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</si>
  <si>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</si>
  <si>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</si>
  <si>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</si>
  <si>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</si>
  <si>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</si>
  <si>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</si>
  <si>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</si>
  <si>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</si>
  <si>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</si>
  <si>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</si>
  <si>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</si>
  <si>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</si>
  <si>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</si>
  <si>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</si>
  <si>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</si>
  <si>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</si>
  <si>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</si>
  <si>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</si>
  <si>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</si>
  <si>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</si>
  <si>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</si>
  <si>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</si>
  <si>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</si>
  <si>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</si>
  <si>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</si>
  <si>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</si>
  <si>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</si>
  <si>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</si>
  <si>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</si>
  <si>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</si>
  <si>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</si>
  <si>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</si>
  <si>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</si>
  <si>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</si>
  <si>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</si>
  <si>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</si>
  <si>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</si>
  <si>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</si>
  <si>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</si>
  <si>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</si>
  <si>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</si>
  <si>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</si>
  <si>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</si>
  <si>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</si>
  <si>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</si>
  <si>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</si>
  <si>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</si>
  <si>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</si>
  <si>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</si>
  <si>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</si>
  <si>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</si>
  <si>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</si>
  <si>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</si>
  <si>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</si>
  <si>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</si>
  <si>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</si>
  <si>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</si>
  <si>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</si>
  <si>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</si>
  <si>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</si>
  <si>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</si>
  <si>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</si>
  <si>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</si>
  <si>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</si>
  <si>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</si>
  <si>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</si>
  <si>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</si>
  <si>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</si>
  <si>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</si>
  <si>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</si>
  <si>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</si>
  <si>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</si>
  <si>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</si>
  <si>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</si>
  <si>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</si>
  <si>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</si>
  <si>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</si>
  <si>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</si>
  <si>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</si>
  <si>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</si>
  <si>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</si>
  <si>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</si>
  <si>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</si>
  <si>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</si>
  <si>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</si>
  <si>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</si>
  <si>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</si>
  <si>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</si>
  <si>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</si>
  <si>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</si>
  <si>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</si>
  <si>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</si>
  <si>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</si>
  <si>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</si>
  <si>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</si>
  <si>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</si>
  <si>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</si>
  <si>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</si>
  <si>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</si>
  <si>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</si>
  <si>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</si>
  <si>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</si>
  <si>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</si>
  <si>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</si>
  <si>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</si>
  <si>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</si>
  <si>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</si>
  <si>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</si>
  <si>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</si>
  <si>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</si>
  <si>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</si>
  <si>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</si>
  <si>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</si>
  <si>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</si>
  <si>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</si>
  <si>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</si>
  <si>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</si>
  <si>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</si>
  <si>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</si>
  <si>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</si>
  <si>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</si>
  <si>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</si>
  <si>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</si>
  <si>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</si>
  <si>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</si>
  <si>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</si>
  <si>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</si>
  <si>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</si>
  <si>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</si>
  <si>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</si>
  <si>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</si>
  <si>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</si>
  <si>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</si>
  <si>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</si>
  <si>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</si>
  <si>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</si>
  <si>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</si>
  <si>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</si>
  <si>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</si>
  <si>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</si>
  <si>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</si>
  <si>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</si>
  <si>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</si>
  <si>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</si>
  <si>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</si>
  <si>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</si>
  <si>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</si>
  <si>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</si>
  <si>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</si>
  <si>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</si>
  <si>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</si>
  <si>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</si>
  <si>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</si>
  <si>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</si>
  <si>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</si>
  <si>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</si>
  <si>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</si>
  <si>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</si>
  <si>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</si>
  <si>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</si>
  <si>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</si>
  <si>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</si>
  <si>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</si>
  <si>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</si>
  <si>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</si>
  <si>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</si>
  <si>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</si>
  <si>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</si>
  <si>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</si>
  <si>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</si>
  <si>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</si>
  <si>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</si>
  <si>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</si>
  <si>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</si>
  <si>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</si>
  <si>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</si>
  <si>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</si>
  <si>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</si>
  <si>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</si>
  <si>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</si>
  <si>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</si>
  <si>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</si>
  <si>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</si>
  <si>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</si>
  <si>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</si>
  <si>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</si>
  <si>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</si>
  <si>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</si>
  <si>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</si>
  <si>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</si>
  <si>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</si>
  <si>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</si>
  <si>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</si>
  <si>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</si>
  <si>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</si>
  <si>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</si>
  <si>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</si>
  <si>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</si>
  <si>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</si>
  <si>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</si>
  <si>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</si>
  <si>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</si>
  <si>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</si>
  <si>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</si>
  <si>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</si>
  <si>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</si>
  <si>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</si>
  <si>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</si>
  <si>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</si>
  <si>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</si>
  <si>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</si>
  <si>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</si>
  <si>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</si>
  <si>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</si>
  <si>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</si>
  <si>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</si>
  <si>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</si>
  <si>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</si>
  <si>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</si>
  <si>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</si>
  <si>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</si>
  <si>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</si>
  <si>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</si>
  <si>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</si>
  <si>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</si>
  <si>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</si>
  <si>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</si>
  <si>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</si>
  <si>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</si>
  <si>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</si>
  <si>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</si>
  <si>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</si>
  <si>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</si>
  <si>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</si>
  <si>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</si>
  <si>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</si>
  <si>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</si>
  <si>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</si>
  <si>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</si>
  <si>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</si>
  <si>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</si>
  <si>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</si>
  <si>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</si>
  <si>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</si>
  <si>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</si>
  <si>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</si>
  <si>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</si>
  <si>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</si>
  <si>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</si>
  <si>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</si>
  <si>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</si>
  <si>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</si>
  <si>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</si>
  <si>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</si>
  <si>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</si>
  <si>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</si>
  <si>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</si>
  <si>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</si>
  <si>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</si>
  <si>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</si>
  <si>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</si>
  <si>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</si>
  <si>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</si>
  <si>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</si>
  <si>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</si>
  <si>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</si>
  <si>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</si>
  <si>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</si>
  <si>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</si>
  <si>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</si>
  <si>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</si>
  <si>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</si>
  <si>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</si>
  <si>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</si>
  <si>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</si>
  <si>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</si>
  <si>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</si>
  <si>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</si>
  <si>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</si>
  <si>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</si>
  <si>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</si>
  <si>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</si>
  <si>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</si>
  <si>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</si>
  <si>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</si>
  <si>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</si>
  <si>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</si>
  <si>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</si>
  <si>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</si>
  <si>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</si>
  <si>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</si>
  <si>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</si>
  <si>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</si>
  <si>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</si>
  <si>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</si>
  <si>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</si>
  <si>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</si>
  <si>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</si>
  <si>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</si>
  <si>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</si>
  <si>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</si>
  <si>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</si>
  <si>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</si>
  <si>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</si>
  <si>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</si>
  <si>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</si>
  <si>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</si>
  <si>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</si>
  <si>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</si>
  <si>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</si>
  <si>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</si>
  <si>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</si>
  <si>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</si>
  <si>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</si>
  <si>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</si>
  <si>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</si>
  <si>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</si>
  <si>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</si>
  <si>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</si>
  <si>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</si>
  <si>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</si>
  <si>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</si>
  <si>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</si>
  <si>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</si>
  <si>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</si>
  <si>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</si>
  <si>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</si>
  <si>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</si>
  <si>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</si>
  <si>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</si>
  <si>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</si>
  <si>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</si>
  <si>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</si>
  <si>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</si>
  <si>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</si>
  <si>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</si>
  <si>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</si>
  <si>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</si>
  <si>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</si>
  <si>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</si>
  <si>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</si>
  <si>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</si>
  <si>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</si>
  <si>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</si>
  <si>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</si>
  <si>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</si>
  <si>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</si>
  <si>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</si>
  <si>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</si>
  <si>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</si>
  <si>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</si>
  <si>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</si>
  <si>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</si>
  <si>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</si>
  <si>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</si>
  <si>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</si>
  <si>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</si>
  <si>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</si>
  <si>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</si>
  <si>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</si>
  <si>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</si>
  <si>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</si>
  <si>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</si>
  <si>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</si>
  <si>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</si>
  <si>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</si>
  <si>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</si>
  <si>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</si>
  <si>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</si>
  <si>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</si>
  <si>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</si>
  <si>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</si>
  <si>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</si>
  <si>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</si>
  <si>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</si>
  <si>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</si>
  <si>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</si>
  <si>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</si>
  <si>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</si>
  <si>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</si>
  <si>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</si>
  <si>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</si>
  <si>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</si>
  <si>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</si>
  <si>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</si>
  <si>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</si>
  <si>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</si>
  <si>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</si>
  <si>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</si>
  <si>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</si>
  <si>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</si>
  <si>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</si>
  <si>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</si>
  <si>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</si>
  <si>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</si>
  <si>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</si>
  <si>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</si>
  <si>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</si>
  <si>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</si>
  <si>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</si>
  <si>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</si>
  <si>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</si>
  <si>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</si>
  <si>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</si>
  <si>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</si>
  <si>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</si>
  <si>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</si>
  <si>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</si>
  <si>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</si>
  <si>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</si>
  <si>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</si>
  <si>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</si>
  <si>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</si>
  <si>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</si>
  <si>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</si>
  <si>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</si>
  <si>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</si>
  <si>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</si>
  <si>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</si>
  <si>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</si>
  <si>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</si>
  <si>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</si>
  <si>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</si>
  <si>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</si>
  <si>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</si>
  <si>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</si>
  <si>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</si>
  <si>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</si>
  <si>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</si>
  <si>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</si>
  <si>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</si>
  <si>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</si>
  <si>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</si>
  <si>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</si>
  <si>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</si>
  <si>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</si>
  <si>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</si>
  <si>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</si>
  <si>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</si>
  <si>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</si>
  <si>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</si>
  <si>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</si>
  <si>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</si>
  <si>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</si>
  <si>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</si>
  <si>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</si>
  <si>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</si>
  <si>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</si>
  <si>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</si>
  <si>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</si>
  <si>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</si>
  <si>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</si>
  <si>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</si>
  <si>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</si>
  <si>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</si>
  <si>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</si>
  <si>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</si>
  <si>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</si>
  <si>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</si>
  <si>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</si>
  <si>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</si>
  <si>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</si>
  <si>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</si>
  <si>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</si>
  <si>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</si>
  <si>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</si>
  <si>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</si>
  <si>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</si>
  <si>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</si>
  <si>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</si>
  <si>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</si>
  <si>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</si>
  <si>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</si>
  <si>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</si>
  <si>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</si>
  <si>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</si>
  <si>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</si>
  <si>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</si>
  <si>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</si>
  <si>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</si>
  <si>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</si>
  <si>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</si>
  <si>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</si>
  <si>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</si>
  <si>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</si>
  <si>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</si>
  <si>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</si>
  <si>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</si>
  <si>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</si>
  <si>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</si>
  <si>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</si>
  <si>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</si>
  <si>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</si>
  <si>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</si>
  <si>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</si>
  <si>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</si>
  <si>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</si>
  <si>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</si>
  <si>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</si>
  <si>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</si>
  <si>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</si>
  <si>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</si>
  <si>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</si>
  <si>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</si>
  <si>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</si>
  <si>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</si>
  <si>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</si>
  <si>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</si>
  <si>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</si>
  <si>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</si>
  <si>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</si>
  <si>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</si>
  <si>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</si>
  <si>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</si>
  <si>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</si>
  <si>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</si>
  <si>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</si>
  <si>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</si>
  <si>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</si>
  <si>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</si>
  <si>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</si>
  <si>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</si>
  <si>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</si>
  <si>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</si>
  <si>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</si>
  <si>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</si>
  <si>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</si>
  <si>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</si>
  <si>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</si>
  <si>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</si>
  <si>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</si>
  <si>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</si>
  <si>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</si>
  <si>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</si>
  <si>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</si>
  <si>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</si>
  <si>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</si>
  <si>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</si>
  <si>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</si>
  <si>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</si>
  <si>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</si>
  <si>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</si>
  <si>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</si>
  <si>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</si>
  <si>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</si>
  <si>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</si>
  <si>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</si>
  <si>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</si>
  <si>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</si>
  <si>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</si>
  <si>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</si>
  <si>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</si>
  <si>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</si>
  <si>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</si>
  <si>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</si>
  <si>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</si>
  <si>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</si>
  <si>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</si>
  <si>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</si>
  <si>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</si>
  <si>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</si>
  <si>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</si>
  <si>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</si>
  <si>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</si>
  <si>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</si>
  <si>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</si>
  <si>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</si>
  <si>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</si>
  <si>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</si>
  <si>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</si>
  <si>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</si>
  <si>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</si>
  <si>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</si>
  <si>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</si>
  <si>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</si>
  <si>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</si>
  <si>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</si>
  <si>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</si>
  <si>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</si>
  <si>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</si>
  <si>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</si>
  <si>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</si>
  <si>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</si>
  <si>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</si>
  <si>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</si>
  <si>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</si>
  <si>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</si>
  <si>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</si>
  <si>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</si>
  <si>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</si>
  <si>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</si>
  <si>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</si>
  <si>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</si>
  <si>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</si>
  <si>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</si>
  <si>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</si>
  <si>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</si>
  <si>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</si>
  <si>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</si>
  <si>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</si>
  <si>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</si>
  <si>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</si>
  <si>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</si>
  <si>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</si>
  <si>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</si>
  <si>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</si>
  <si>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</si>
  <si>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</si>
  <si>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</si>
  <si>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</si>
  <si>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</si>
  <si>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</si>
  <si>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</si>
  <si>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</si>
  <si>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</si>
  <si>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</si>
  <si>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</si>
  <si>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</si>
  <si>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</si>
  <si>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</si>
  <si>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</si>
  <si>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</si>
  <si>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</si>
  <si>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</si>
  <si>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</si>
  <si>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</si>
  <si>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</si>
  <si>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</si>
  <si>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</si>
  <si>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</si>
  <si>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</si>
  <si>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</si>
  <si>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</si>
  <si>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</si>
  <si>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</si>
  <si>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</si>
  <si>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</si>
  <si>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</si>
  <si>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</si>
  <si>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</si>
  <si>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</si>
  <si>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</si>
  <si>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</si>
  <si>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</si>
  <si>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</si>
  <si>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</si>
  <si>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</si>
  <si>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</si>
  <si>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</si>
  <si>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</si>
  <si>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</si>
  <si>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</si>
  <si>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</si>
  <si>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</si>
  <si>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</si>
  <si>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</si>
  <si>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</si>
  <si>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</si>
  <si>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</si>
  <si>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</si>
  <si>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</si>
  <si>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</si>
  <si>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</si>
  <si>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</si>
  <si>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</si>
  <si>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</si>
  <si>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</si>
  <si>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</si>
  <si>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</si>
  <si>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</si>
  <si>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</si>
  <si>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</si>
  <si>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</si>
  <si>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</si>
  <si>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</si>
  <si>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</si>
  <si>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</si>
  <si>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</si>
  <si>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</si>
  <si>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</si>
  <si>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</si>
  <si>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</si>
  <si>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</si>
  <si>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</si>
  <si>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</si>
  <si>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</si>
  <si>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</si>
  <si>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</si>
  <si>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</si>
  <si>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</si>
  <si>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</si>
  <si>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</si>
  <si>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</si>
  <si>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</si>
  <si>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</si>
  <si>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</si>
  <si>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</si>
  <si>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</si>
  <si>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</si>
  <si>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</si>
  <si>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</si>
  <si>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</si>
  <si>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</si>
  <si>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</si>
  <si>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</si>
  <si>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</si>
  <si>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</si>
  <si>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</si>
  <si>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</si>
  <si>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</si>
  <si>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</si>
  <si>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</si>
  <si>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</si>
  <si>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</si>
  <si>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</si>
  <si>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</si>
  <si>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</si>
  <si>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</si>
  <si>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</si>
  <si>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</si>
  <si>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</si>
  <si>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</si>
  <si>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</si>
  <si>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</si>
  <si>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</si>
  <si>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</si>
  <si>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</si>
  <si>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</si>
  <si>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</si>
  <si>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</si>
  <si>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</si>
  <si>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</si>
  <si>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</si>
  <si>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</si>
  <si>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</si>
  <si>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</si>
  <si>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</si>
  <si>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</si>
  <si>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</si>
  <si>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</si>
  <si>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</si>
  <si>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</si>
  <si>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</si>
  <si>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</si>
  <si>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</si>
  <si>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</si>
  <si>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</si>
  <si>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</si>
  <si>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</si>
  <si>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</si>
  <si>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</si>
  <si>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</si>
  <si>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</si>
  <si>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</si>
  <si>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</si>
  <si>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</si>
  <si>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</si>
  <si>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</si>
  <si>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</si>
  <si>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</si>
  <si>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</si>
  <si>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</si>
  <si>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</si>
  <si>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</si>
  <si>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</si>
  <si>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</si>
  <si>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</si>
  <si>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</si>
  <si>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</si>
  <si>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</si>
  <si>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</si>
  <si>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</si>
  <si>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</si>
  <si>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</si>
  <si>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</si>
  <si>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</si>
  <si>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</si>
  <si>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</si>
  <si>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</si>
  <si>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</si>
  <si>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</si>
  <si>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</si>
  <si>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</si>
  <si>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</si>
  <si>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</si>
  <si>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</si>
  <si>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</si>
  <si>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</si>
  <si>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</si>
  <si>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</si>
  <si>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</si>
  <si>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</si>
  <si>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</si>
  <si>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</si>
  <si>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</si>
  <si>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</si>
  <si>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</si>
  <si>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</si>
  <si>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</si>
  <si>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</si>
  <si>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</si>
  <si>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</si>
  <si>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</si>
  <si>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</si>
  <si>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</si>
  <si>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</si>
  <si>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</si>
  <si>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</si>
  <si>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</si>
  <si>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</si>
  <si>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</si>
  <si>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</si>
  <si>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</si>
  <si>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</si>
  <si>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</si>
  <si>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</si>
  <si>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</si>
  <si>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</si>
  <si>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</si>
  <si>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</si>
  <si>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</si>
  <si>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</si>
  <si>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</si>
  <si>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</si>
  <si>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</si>
  <si>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</si>
  <si>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</si>
  <si>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</si>
  <si>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</si>
  <si>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</si>
  <si>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</si>
  <si>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</si>
  <si>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</si>
  <si>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</si>
  <si>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</si>
  <si>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</si>
  <si>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</si>
  <si>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</si>
  <si>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</si>
  <si>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</si>
  <si>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</si>
  <si>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</si>
  <si>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</si>
  <si>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</si>
  <si>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</si>
  <si>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</si>
  <si>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</si>
  <si>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</si>
  <si>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</si>
  <si>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</si>
  <si>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</si>
  <si>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</si>
  <si>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</si>
  <si>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</si>
  <si>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</si>
  <si>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</si>
  <si>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</si>
  <si>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</si>
  <si>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</si>
  <si>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</si>
  <si>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</si>
  <si>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</si>
  <si>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</si>
  <si>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</si>
  <si>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</si>
  <si>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</si>
  <si>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</si>
  <si>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</si>
  <si>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</si>
  <si>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</si>
  <si>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</si>
  <si>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</si>
  <si>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</si>
  <si>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</si>
  <si>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</si>
  <si>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</si>
  <si>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</si>
  <si>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</si>
  <si>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</si>
  <si>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</si>
  <si>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</si>
  <si>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</si>
  <si>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</si>
  <si>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</si>
  <si>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</si>
  <si>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</si>
  <si>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</si>
  <si>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</si>
  <si>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</si>
  <si>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</si>
  <si>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</si>
  <si>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</si>
  <si>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</si>
  <si>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</si>
  <si>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</si>
  <si>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</si>
  <si>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</si>
  <si>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</si>
  <si>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</si>
  <si>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</si>
  <si>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</si>
  <si>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</si>
  <si>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</si>
  <si>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</si>
  <si>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</si>
  <si>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</si>
  <si>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</si>
  <si>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</si>
  <si>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</si>
  <si>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</si>
  <si>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</si>
  <si>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</si>
  <si>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</si>
  <si>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</si>
  <si>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</si>
  <si>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</si>
  <si>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</si>
  <si>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</si>
  <si>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</si>
  <si>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</si>
  <si>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</si>
  <si>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</si>
  <si>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</si>
  <si>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</si>
  <si>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</si>
  <si>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</si>
  <si>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</si>
  <si>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</si>
  <si>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</si>
  <si>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</si>
  <si>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</si>
  <si>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</si>
  <si>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</si>
  <si>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</si>
  <si>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</si>
  <si>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</si>
  <si>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</si>
  <si>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</si>
  <si>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</si>
  <si>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</si>
  <si>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</si>
  <si>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</si>
  <si>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</si>
  <si>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</si>
  <si>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</si>
  <si>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</si>
  <si>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</si>
  <si>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</si>
  <si>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</si>
  <si>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</si>
  <si>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</si>
  <si>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</si>
  <si>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</si>
  <si>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</si>
  <si>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</si>
  <si>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</si>
  <si>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</si>
  <si>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</si>
  <si>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</si>
  <si>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</si>
  <si>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</si>
  <si>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</si>
  <si>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</si>
  <si>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</si>
  <si>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</si>
  <si>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</si>
  <si>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</si>
  <si>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</si>
  <si>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</si>
  <si>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</si>
  <si>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</si>
  <si>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</si>
  <si>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</si>
  <si>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</si>
  <si>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</si>
  <si>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</si>
  <si>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</si>
  <si>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</si>
  <si>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</si>
  <si>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</si>
  <si>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</si>
  <si>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</si>
  <si>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</si>
  <si>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</si>
  <si>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</si>
  <si>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</si>
  <si>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</si>
  <si>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</si>
  <si>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</si>
  <si>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</si>
  <si>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</si>
  <si>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</si>
  <si>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</si>
  <si>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</si>
  <si>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</si>
  <si>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</si>
  <si>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</si>
  <si>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</si>
  <si>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</si>
  <si>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</si>
  <si>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</si>
  <si>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</si>
  <si>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</si>
  <si>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</si>
  <si>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</si>
  <si>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</si>
  <si>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</si>
  <si>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</si>
  <si>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</si>
  <si>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</si>
  <si>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</si>
  <si>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</si>
  <si>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</si>
  <si>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</si>
  <si>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</si>
  <si>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</si>
  <si>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</si>
  <si>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</si>
  <si>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</si>
  <si>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</si>
  <si>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</si>
  <si>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</si>
  <si>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</si>
  <si>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</si>
  <si>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</si>
  <si>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</si>
  <si>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</si>
  <si>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</si>
  <si>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</si>
  <si>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</si>
  <si>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</si>
  <si>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</si>
  <si>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</si>
  <si>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</si>
  <si>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</si>
  <si>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</si>
  <si>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</si>
  <si>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</si>
  <si>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</si>
  <si>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</si>
  <si>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</si>
  <si>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</si>
  <si>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</si>
  <si>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</si>
  <si>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</si>
  <si>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</si>
  <si>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</si>
  <si>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</si>
  <si>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</si>
  <si>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</si>
  <si>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</si>
  <si>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</si>
  <si>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</si>
  <si>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</si>
  <si>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</si>
  <si>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</si>
  <si>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</si>
  <si>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</si>
  <si>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</si>
  <si>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</si>
  <si>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</si>
  <si>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</si>
  <si>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</si>
  <si>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</si>
  <si>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</si>
  <si>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</si>
  <si>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</si>
  <si>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</si>
  <si>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</si>
  <si>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</si>
  <si>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</si>
  <si>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</si>
  <si>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</si>
  <si>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</si>
  <si>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</si>
  <si>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</si>
  <si>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</si>
  <si>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</si>
  <si>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</si>
  <si>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</si>
  <si>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</si>
  <si>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</si>
  <si>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</si>
  <si>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</si>
  <si>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</si>
  <si>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</si>
  <si>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</si>
  <si>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</si>
  <si>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</si>
  <si>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</si>
  <si>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</si>
  <si>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</si>
  <si>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</si>
  <si>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</si>
  <si>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</si>
  <si>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</si>
  <si>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</si>
  <si>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</si>
  <si>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</si>
  <si>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</si>
  <si>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</si>
  <si>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</si>
  <si>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</si>
  <si>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</si>
  <si>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</si>
  <si>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</si>
  <si>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</si>
  <si>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</si>
  <si>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</si>
  <si>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</si>
  <si>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</si>
  <si>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</si>
  <si>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</si>
  <si>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</si>
  <si>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</si>
  <si>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</si>
  <si>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</si>
  <si>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</si>
  <si>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</si>
  <si>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</si>
  <si>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</si>
  <si>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</si>
  <si>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</si>
  <si>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</si>
  <si>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</si>
  <si>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</si>
  <si>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</si>
  <si>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</si>
  <si>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</si>
  <si>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</si>
  <si>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</si>
  <si>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</si>
  <si>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</si>
  <si>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</si>
  <si>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</si>
  <si>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</si>
  <si>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</si>
  <si>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</si>
  <si>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</si>
  <si>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</si>
  <si>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</si>
  <si>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</si>
  <si>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</si>
  <si>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</si>
  <si>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</si>
  <si>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</si>
  <si>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</si>
  <si>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</si>
  <si>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</si>
  <si>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</si>
  <si>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</si>
  <si>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</si>
  <si>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</si>
  <si>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</si>
  <si>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</si>
  <si>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</si>
  <si>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</si>
  <si>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</si>
  <si>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</si>
  <si>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</si>
  <si>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</si>
  <si>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</si>
  <si>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</si>
  <si>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</si>
  <si>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</si>
  <si>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</si>
  <si>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</si>
  <si>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</si>
  <si>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</si>
  <si>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</si>
  <si>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</si>
  <si>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</si>
  <si>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</si>
  <si>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</si>
  <si>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</si>
  <si>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</si>
  <si>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</si>
  <si>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</si>
  <si>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</si>
  <si>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</si>
  <si>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</si>
  <si>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</si>
  <si>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</si>
  <si>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</si>
  <si>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</si>
  <si>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</si>
  <si>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</si>
  <si>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</si>
  <si>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</si>
  <si>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</si>
  <si>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</si>
  <si>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</si>
  <si>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</si>
  <si>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</si>
  <si>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</si>
  <si>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</si>
  <si>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</si>
  <si>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</si>
  <si>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</si>
  <si>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</si>
  <si>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</si>
  <si>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</si>
  <si>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</si>
  <si>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</si>
  <si>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</si>
  <si>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</si>
  <si>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</si>
  <si>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</si>
  <si>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</si>
  <si>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</si>
  <si>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</si>
  <si>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</si>
  <si>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</si>
  <si>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</si>
  <si>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</si>
  <si>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</si>
  <si>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</si>
  <si>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</si>
  <si>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</si>
  <si>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</si>
  <si>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</si>
  <si>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</si>
  <si>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</si>
  <si>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</si>
  <si>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</si>
  <si>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</si>
  <si>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</si>
  <si>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</si>
  <si>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</si>
  <si>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</si>
  <si>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</si>
  <si>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</si>
  <si>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</si>
  <si>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</si>
  <si>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</si>
  <si>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</si>
  <si>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</si>
  <si>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</si>
  <si>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</si>
  <si>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</si>
  <si>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</si>
  <si>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</si>
  <si>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</si>
  <si>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</si>
  <si>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</si>
  <si>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</si>
  <si>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</si>
  <si>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</si>
  <si>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</si>
  <si>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</si>
  <si>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</si>
  <si>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</si>
  <si>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</si>
  <si>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</si>
  <si>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</si>
  <si>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</si>
  <si>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</si>
  <si>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</si>
  <si>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</si>
  <si>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</si>
  <si>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</si>
  <si>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</si>
  <si>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</si>
  <si>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</si>
  <si>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</si>
  <si>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</si>
  <si>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</si>
  <si>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</si>
  <si>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</si>
  <si>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</si>
  <si>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</si>
  <si>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</si>
  <si>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</si>
  <si>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</si>
  <si>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</si>
  <si>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</si>
  <si>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</si>
  <si>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</si>
  <si>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</si>
  <si>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</si>
  <si>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</si>
  <si>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</si>
  <si>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</si>
  <si>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</si>
  <si>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</si>
  <si>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</si>
  <si>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</si>
  <si>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</si>
  <si>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</si>
  <si>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</si>
  <si>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</si>
  <si>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</si>
  <si>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</si>
  <si>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</si>
  <si>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</si>
  <si>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</si>
  <si>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</si>
  <si>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</si>
  <si>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</si>
  <si>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</si>
  <si>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</si>
  <si>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</si>
  <si>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</si>
  <si>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</si>
  <si>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</si>
  <si>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</si>
  <si>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</si>
  <si>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</si>
  <si>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</si>
  <si>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</si>
  <si>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</si>
  <si>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</si>
  <si>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</si>
  <si>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</si>
  <si>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</si>
  <si>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</si>
  <si>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</si>
  <si>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</si>
  <si>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</si>
  <si>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</si>
  <si>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</si>
  <si>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</si>
  <si>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</si>
  <si>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</si>
  <si>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</si>
  <si>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</si>
  <si>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</si>
  <si>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</si>
  <si>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</si>
  <si>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</si>
  <si>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</si>
  <si>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</si>
  <si>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</si>
  <si>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</si>
  <si>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</si>
  <si>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</si>
  <si>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</si>
  <si>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</si>
  <si>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</si>
  <si>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</si>
  <si>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</si>
  <si>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</si>
  <si>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</si>
  <si>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</si>
  <si>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</si>
  <si>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</si>
  <si>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</si>
  <si>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</si>
  <si>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</si>
  <si>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</si>
  <si>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</si>
  <si>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</si>
  <si>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</si>
  <si>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</si>
  <si>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</si>
  <si>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</si>
  <si>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</si>
  <si>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</si>
  <si>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</si>
  <si>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</si>
  <si>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</si>
  <si>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</si>
  <si>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</si>
  <si>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</si>
  <si>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</si>
  <si>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</si>
  <si>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</si>
  <si>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</si>
  <si>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</si>
  <si>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</si>
  <si>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</si>
  <si>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</si>
  <si>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</si>
  <si>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</si>
  <si>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</si>
  <si>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</si>
  <si>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</si>
  <si>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</si>
  <si>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</si>
  <si>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</si>
  <si>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</si>
  <si>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</si>
  <si>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</si>
  <si>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</si>
  <si>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</si>
  <si>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</si>
  <si>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</si>
  <si>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</si>
  <si>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</si>
  <si>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</si>
  <si>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</si>
  <si>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</si>
  <si>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</si>
  <si>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</si>
  <si>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</si>
  <si>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</si>
  <si>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</si>
  <si>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</si>
  <si>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</si>
  <si>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</si>
  <si>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</si>
  <si>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</si>
  <si>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</si>
  <si>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</si>
  <si>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</si>
  <si>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</si>
  <si>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</si>
  <si>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</si>
  <si>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</si>
  <si>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</si>
  <si>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</si>
  <si>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</si>
  <si>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</si>
  <si>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</si>
  <si>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</si>
  <si>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</si>
  <si>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</si>
  <si>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</si>
  <si>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</si>
  <si>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</si>
  <si>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</si>
  <si>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</si>
  <si>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</si>
  <si>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</si>
  <si>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</si>
  <si>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</si>
  <si>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</si>
  <si>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</si>
  <si>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</si>
  <si>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</si>
  <si>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</si>
  <si>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</si>
  <si>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</si>
  <si>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</si>
  <si>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</si>
  <si>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</si>
  <si>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</si>
  <si>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</si>
  <si>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</si>
  <si>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</si>
  <si>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</si>
  <si>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</si>
  <si>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</si>
  <si>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</si>
  <si>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</si>
  <si>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</si>
  <si>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</si>
  <si>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</si>
  <si>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</si>
  <si>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</si>
  <si>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</si>
  <si>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</si>
  <si>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</si>
  <si>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</si>
  <si>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</si>
  <si>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</si>
  <si>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</si>
  <si>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</si>
  <si>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</si>
  <si>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</si>
  <si>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</si>
  <si>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</si>
  <si>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</si>
  <si>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</si>
  <si>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</si>
  <si>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</si>
  <si>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</si>
  <si>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</si>
  <si>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</si>
  <si>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</si>
  <si>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</si>
  <si>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</si>
  <si>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</si>
  <si>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</si>
  <si>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</si>
  <si>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</si>
  <si>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</si>
  <si>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</si>
  <si>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</si>
  <si>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</si>
  <si>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</si>
  <si>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</si>
  <si>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</si>
  <si>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</si>
  <si>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</si>
  <si>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</si>
  <si>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</si>
  <si>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</si>
  <si>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</si>
  <si>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</si>
  <si>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</si>
  <si>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</si>
  <si>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</si>
  <si>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</si>
  <si>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</si>
  <si>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</si>
  <si>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</si>
  <si>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</si>
  <si>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</si>
  <si>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</si>
  <si>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</si>
  <si>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</si>
  <si>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</si>
  <si>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</si>
  <si>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</si>
  <si>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</si>
  <si>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</si>
  <si>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</si>
  <si>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</si>
  <si>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</si>
  <si>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</si>
  <si>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</si>
  <si>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</si>
  <si>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</si>
  <si>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</si>
  <si>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</si>
  <si>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</si>
  <si>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</si>
  <si>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</si>
  <si>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</si>
  <si>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</si>
  <si>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</si>
  <si>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</si>
  <si>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</si>
  <si>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</si>
  <si>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</si>
  <si>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</si>
  <si>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</si>
  <si>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</si>
  <si>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</si>
  <si>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</si>
  <si>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</si>
  <si>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</si>
  <si>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</si>
  <si>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</si>
  <si>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</si>
  <si>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</si>
  <si>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</si>
  <si>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</si>
  <si>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</si>
  <si>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</si>
  <si>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</si>
  <si>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</si>
  <si>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</si>
  <si>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</si>
  <si>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</si>
  <si>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</si>
  <si>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</si>
  <si>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</si>
  <si>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</si>
  <si>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</si>
  <si>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</si>
  <si>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</si>
  <si>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</si>
  <si>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</si>
  <si>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</si>
  <si>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</si>
  <si>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</si>
  <si>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</si>
  <si>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</si>
  <si>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</si>
  <si>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</si>
  <si>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</si>
  <si>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</si>
  <si>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</si>
  <si>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</si>
  <si>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</si>
  <si>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</si>
  <si>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</si>
  <si>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</si>
  <si>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</si>
  <si>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</si>
  <si>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</si>
  <si>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</si>
  <si>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</si>
  <si>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</si>
  <si>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</si>
  <si>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</si>
  <si>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</si>
  <si>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</si>
  <si>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</si>
  <si>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</si>
  <si>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</si>
  <si>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</si>
  <si>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</si>
  <si>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</si>
  <si>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</si>
  <si>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</si>
  <si>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</si>
  <si>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</si>
  <si>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</si>
  <si>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</si>
  <si>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</si>
  <si>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</si>
  <si>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</si>
  <si>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</si>
  <si>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</si>
  <si>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</si>
  <si>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</si>
  <si>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</si>
  <si>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</si>
  <si>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</si>
  <si>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</si>
  <si>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</si>
  <si>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</si>
  <si>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</si>
  <si>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</si>
  <si>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</si>
  <si>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</si>
  <si>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</si>
  <si>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</si>
  <si>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</si>
  <si>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</si>
  <si>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</si>
  <si>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</si>
  <si>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</si>
  <si>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</si>
  <si>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</si>
  <si>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</si>
  <si>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</si>
  <si>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</si>
  <si>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</si>
  <si>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</si>
  <si>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</si>
  <si>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</si>
  <si>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</si>
  <si>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</si>
  <si>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</si>
  <si>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</si>
  <si>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</si>
  <si>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</si>
  <si>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</si>
  <si>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</si>
  <si>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</si>
  <si>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</si>
  <si>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</si>
  <si>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</si>
  <si>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</si>
  <si>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</si>
  <si>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</si>
  <si>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</si>
  <si>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</si>
  <si>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</si>
  <si>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</si>
  <si>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</si>
  <si>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</si>
  <si>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</si>
  <si>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</si>
  <si>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</si>
  <si>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</si>
  <si>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</si>
  <si>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</si>
  <si>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</si>
  <si>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</si>
  <si>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</si>
  <si>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</si>
  <si>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</si>
  <si>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</si>
  <si>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</si>
  <si>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</si>
  <si>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</si>
  <si>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</si>
  <si>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</si>
  <si>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</si>
  <si>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</si>
  <si>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</si>
  <si>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</si>
  <si>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</si>
  <si>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</si>
  <si>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</si>
  <si>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</si>
  <si>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</si>
  <si>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</si>
  <si>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</si>
  <si>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</si>
  <si>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</si>
  <si>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</si>
  <si>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</si>
  <si>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</si>
  <si>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</si>
  <si>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</si>
  <si>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</si>
  <si>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</si>
  <si>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</si>
  <si>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</si>
  <si>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</si>
  <si>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</si>
  <si>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</si>
  <si>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</si>
  <si>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</si>
  <si>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</si>
  <si>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</si>
  <si>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</si>
  <si>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</si>
  <si>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</si>
  <si>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</si>
  <si>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</si>
  <si>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</si>
  <si>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</si>
  <si>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</si>
  <si>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</si>
  <si>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</si>
  <si>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</si>
  <si>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</si>
  <si>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</si>
  <si>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</si>
  <si>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</si>
  <si>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</si>
  <si>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</si>
  <si>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</si>
  <si>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</si>
  <si>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</si>
  <si>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</si>
  <si>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</si>
  <si>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</si>
  <si>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</si>
  <si>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</si>
  <si>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</si>
  <si>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</si>
  <si>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</si>
  <si>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</si>
  <si>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</si>
  <si>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</si>
  <si>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</si>
  <si>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</si>
  <si>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</si>
  <si>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</si>
  <si>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</si>
  <si>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</si>
  <si>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</si>
  <si>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</si>
  <si>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</si>
  <si>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</si>
  <si>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</si>
  <si>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</si>
  <si>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</si>
  <si>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</si>
  <si>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</si>
  <si>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</si>
  <si>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</si>
  <si>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</si>
  <si>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</si>
  <si>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</si>
  <si>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</si>
  <si>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</si>
  <si>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</si>
  <si>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</si>
  <si>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</si>
  <si>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</si>
  <si>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李文恕</t>
    <phoneticPr fontId="6" type="noConversion"/>
  </si>
  <si>
    <r>
      <rPr>
        <sz val="10"/>
        <color theme="9" tint="-0.249977111117893"/>
        <rFont val="宋体"/>
        <family val="3"/>
        <charset val="134"/>
      </rPr>
      <t>通州区半壁店大街</t>
    </r>
    <r>
      <rPr>
        <sz val="10"/>
        <color theme="9" tint="-0.249977111117893"/>
        <rFont val="Arial"/>
        <family val="2"/>
      </rPr>
      <t>4-4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层全部</t>
    </r>
    <phoneticPr fontId="6" type="noConversion"/>
  </si>
  <si>
    <t>是</t>
  </si>
  <si>
    <t>地上</t>
  </si>
  <si>
    <t>楼号或幢号</t>
    <phoneticPr fontId="134" type="noConversion"/>
  </si>
  <si>
    <t>房屋总层数</t>
    <phoneticPr fontId="134" type="noConversion"/>
  </si>
  <si>
    <t>结构</t>
    <phoneticPr fontId="134" type="noConversion"/>
  </si>
  <si>
    <t>混合</t>
    <phoneticPr fontId="134" type="noConversion"/>
  </si>
  <si>
    <t>建成年份</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</si>
  <si>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</si>
  <si>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-2</t>
    </r>
    <phoneticPr fontId="134" type="noConversion"/>
  </si>
  <si>
    <t>成新度</t>
  </si>
  <si>
    <t>建成年代</t>
    <phoneticPr fontId="3" type="noConversion"/>
  </si>
  <si>
    <t>直线</t>
    <phoneticPr fontId="3" type="noConversion"/>
  </si>
  <si>
    <t>观察</t>
    <phoneticPr fontId="3" type="noConversion"/>
  </si>
  <si>
    <t>综合</t>
    <phoneticPr fontId="3" type="noConversion"/>
  </si>
  <si>
    <t>收益法 (元)</t>
  </si>
  <si>
    <t>以前的年租金</t>
    <phoneticPr fontId="3" type="noConversion"/>
  </si>
  <si>
    <t>杨庄街道</t>
    <phoneticPr fontId="3" type="noConversion"/>
  </si>
  <si>
    <t>否</t>
  </si>
  <si>
    <t>押一</t>
  </si>
  <si>
    <t>砖混</t>
  </si>
  <si>
    <t>非生产用房</t>
  </si>
  <si>
    <t>自定义容积率</t>
  </si>
  <si>
    <t>不临65条商业街</t>
  </si>
  <si>
    <t>与级别开发程度不一致</t>
  </si>
  <si>
    <t>通路</t>
  </si>
  <si>
    <t>通电</t>
  </si>
  <si>
    <t>通讯</t>
  </si>
  <si>
    <t>通上水</t>
  </si>
  <si>
    <t>通下水</t>
  </si>
  <si>
    <t>平整</t>
  </si>
  <si>
    <t>中心城区以外</t>
  </si>
  <si>
    <t>楼层修正</t>
  </si>
  <si>
    <t>现房</t>
  </si>
  <si>
    <t>商业项目</t>
  </si>
  <si>
    <t>单套模式</t>
  </si>
  <si>
    <t>售价</t>
  </si>
  <si>
    <t>较好</t>
  </si>
  <si>
    <t>较差</t>
  </si>
  <si>
    <t>好</t>
  </si>
  <si>
    <t>一般</t>
  </si>
  <si>
    <t>未包含在土地购买价格中</t>
  </si>
  <si>
    <t>已包含在土地取得成本中</t>
  </si>
  <si>
    <t>正常</t>
  </si>
  <si>
    <t>商业</t>
    <phoneticPr fontId="30" type="noConversion"/>
  </si>
  <si>
    <t>案例1</t>
    <phoneticPr fontId="134" type="noConversion"/>
  </si>
  <si>
    <t>案例2</t>
    <phoneticPr fontId="134" type="noConversion"/>
  </si>
  <si>
    <t>案例3</t>
    <phoneticPr fontId="134" type="noConversion"/>
  </si>
  <si>
    <r>
      <t>1</t>
    </r>
    <r>
      <rPr>
        <sz val="11"/>
        <color theme="1"/>
        <rFont val="宋体"/>
        <family val="3"/>
        <charset val="134"/>
        <scheme val="minor"/>
      </rPr>
      <t>-2层</t>
    </r>
    <phoneticPr fontId="134" type="noConversion"/>
  </si>
  <si>
    <t>楼层</t>
    <phoneticPr fontId="134" type="noConversion"/>
  </si>
  <si>
    <t>1层</t>
  </si>
  <si>
    <t>1层</t>
    <phoneticPr fontId="134" type="noConversion"/>
  </si>
  <si>
    <t>1-2层</t>
    <phoneticPr fontId="134" type="noConversion"/>
  </si>
  <si>
    <t>之前年租金是188000，现在年租金是15万</t>
    <phoneticPr fontId="134" type="noConversion"/>
  </si>
  <si>
    <t>日租金</t>
    <phoneticPr fontId="134" type="noConversion"/>
  </si>
  <si>
    <t>两个租户</t>
    <phoneticPr fontId="134" type="noConversion"/>
  </si>
  <si>
    <t>新华联家园南区</t>
    <phoneticPr fontId="3" type="noConversion"/>
  </si>
  <si>
    <t>当代名筑</t>
    <phoneticPr fontId="3" type="noConversion"/>
  </si>
  <si>
    <t>租金案例1</t>
    <phoneticPr fontId="134" type="noConversion"/>
  </si>
  <si>
    <t>租金案例3</t>
    <phoneticPr fontId="134" type="noConversion"/>
  </si>
  <si>
    <t>左右</t>
    <phoneticPr fontId="134" type="noConversion"/>
  </si>
  <si>
    <t>挂牌价</t>
  </si>
  <si>
    <t>挂牌价</t>
    <phoneticPr fontId="30" type="noConversion"/>
  </si>
  <si>
    <r>
      <t>10-20</t>
    </r>
    <r>
      <rPr>
        <sz val="11"/>
        <rFont val="宋体"/>
        <family val="3"/>
        <charset val="134"/>
      </rPr>
      <t>（含）</t>
    </r>
    <phoneticPr fontId="30" type="noConversion"/>
  </si>
  <si>
    <r>
      <t>0-10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</si>
  <si>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</si>
  <si>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</si>
  <si>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较好</t>
    <phoneticPr fontId="30" type="noConversion"/>
  </si>
  <si>
    <t>一般</t>
    <phoneticPr fontId="30" type="noConversion"/>
  </si>
  <si>
    <t>配套商业</t>
  </si>
  <si>
    <t>配套商业</t>
    <phoneticPr fontId="30" type="noConversion"/>
  </si>
  <si>
    <t>七通</t>
  </si>
  <si>
    <r>
      <t>1</t>
    </r>
    <r>
      <rPr>
        <sz val="11"/>
        <color indexed="10"/>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</si>
  <si>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</si>
  <si>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</si>
  <si>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系数</t>
    <phoneticPr fontId="30" type="noConversion"/>
  </si>
  <si>
    <t>修正</t>
    <phoneticPr fontId="30" type="noConversion"/>
  </si>
  <si>
    <r>
      <rPr>
        <sz val="11"/>
        <color indexed="62"/>
        <rFont val="宋体"/>
        <family val="3"/>
        <charset val="134"/>
      </rPr>
      <t>当代名筑网上查询建成年代</t>
    </r>
    <r>
      <rPr>
        <sz val="11"/>
        <color indexed="62"/>
        <rFont val="Arial"/>
        <family val="2"/>
      </rPr>
      <t>2004-2007</t>
    </r>
    <phoneticPr fontId="30" type="noConversion"/>
  </si>
  <si>
    <r>
      <t>10-20</t>
    </r>
    <r>
      <rPr>
        <sz val="11"/>
        <color indexed="8"/>
        <rFont val="宋体"/>
        <family val="3"/>
        <charset val="134"/>
      </rPr>
      <t>（含）</t>
    </r>
    <phoneticPr fontId="30" type="noConversion"/>
  </si>
  <si>
    <t>比较法-商业</t>
  </si>
  <si>
    <t>楼面单价</t>
  </si>
  <si>
    <t>自定义</t>
  </si>
  <si>
    <t>4-4</t>
  </si>
  <si>
    <t>4-4</t>
    <phoneticPr fontId="3" type="noConversion"/>
  </si>
  <si>
    <t>根据建成年代推算</t>
    <phoneticPr fontId="6" type="noConversion"/>
  </si>
  <si>
    <r>
      <t>1-2</t>
    </r>
    <r>
      <rPr>
        <sz val="11"/>
        <rFont val="宋体"/>
        <family val="3"/>
        <charset val="134"/>
      </rPr>
      <t>层，</t>
    </r>
    <r>
      <rPr>
        <sz val="11"/>
        <rFont val="Arial"/>
        <family val="2"/>
      </rPr>
      <t>1</t>
    </r>
    <r>
      <rPr>
        <sz val="11"/>
        <rFont val="宋体"/>
        <family val="3"/>
        <charset val="134"/>
      </rPr>
      <t>层面积</t>
    </r>
    <r>
      <rPr>
        <sz val="11"/>
        <rFont val="Arial"/>
        <family val="2"/>
      </rPr>
      <t>30%</t>
    </r>
    <phoneticPr fontId="30" type="noConversion"/>
  </si>
  <si>
    <r>
      <t>1-2</t>
    </r>
    <r>
      <rPr>
        <sz val="11"/>
        <rFont val="宋体"/>
        <family val="3"/>
        <charset val="134"/>
      </rPr>
      <t>层，</t>
    </r>
    <r>
      <rPr>
        <sz val="11"/>
        <rFont val="Arial"/>
        <family val="2"/>
      </rPr>
      <t>1</t>
    </r>
    <r>
      <rPr>
        <sz val="11"/>
        <rFont val="宋体"/>
        <family val="3"/>
        <charset val="134"/>
      </rPr>
      <t>层面积</t>
    </r>
    <r>
      <rPr>
        <sz val="11"/>
        <rFont val="Arial"/>
        <family val="2"/>
      </rPr>
      <t>60%</t>
    </r>
    <phoneticPr fontId="30" type="noConversion"/>
  </si>
  <si>
    <r>
      <t>1-2</t>
    </r>
    <r>
      <rPr>
        <sz val="11"/>
        <rFont val="宋体"/>
        <family val="3"/>
        <charset val="134"/>
      </rPr>
      <t>层，</t>
    </r>
    <r>
      <rPr>
        <sz val="11"/>
        <rFont val="Arial"/>
        <family val="2"/>
      </rPr>
      <t>1</t>
    </r>
    <r>
      <rPr>
        <sz val="11"/>
        <rFont val="宋体"/>
        <family val="3"/>
        <charset val="134"/>
      </rPr>
      <t>层面积</t>
    </r>
    <r>
      <rPr>
        <sz val="11"/>
        <rFont val="Arial"/>
        <family val="2"/>
      </rPr>
      <t>40%</t>
    </r>
    <phoneticPr fontId="30" type="noConversion"/>
  </si>
  <si>
    <t>估价对象</t>
    <phoneticPr fontId="30" type="noConversion"/>
  </si>
  <si>
    <r>
      <rPr>
        <sz val="11"/>
        <color indexed="8"/>
        <rFont val="宋体"/>
        <family val="3"/>
        <charset val="134"/>
      </rPr>
      <t>案例</t>
    </r>
    <r>
      <rPr>
        <sz val="11"/>
        <color indexed="8"/>
        <rFont val="Arial"/>
        <family val="2"/>
      </rPr>
      <t>3</t>
    </r>
    <phoneticPr fontId="30" type="noConversion"/>
  </si>
  <si>
    <r>
      <rPr>
        <sz val="11"/>
        <color indexed="53"/>
        <rFont val="宋体"/>
        <family val="3"/>
        <charset val="134"/>
      </rPr>
      <t>案例</t>
    </r>
    <r>
      <rPr>
        <sz val="11"/>
        <color indexed="53"/>
        <rFont val="Arial"/>
        <family val="2"/>
      </rPr>
      <t>1</t>
    </r>
    <phoneticPr fontId="30" type="noConversion"/>
  </si>
  <si>
    <t>1-2层，1层面积60%</t>
  </si>
  <si>
    <t>1-2层，1层面积40%</t>
  </si>
  <si>
    <t>1-2层，1层面积30%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</si>
</sst>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000000"/>
      <name val="宋体"/>
      <family val="3"/>
      <charset val="134"/>
    </font>
    <font>
      <sz val="11"/>
      <color indexed="62"/>
      <name val="宋体"/>
      <family val="3"/>
      <charset val="134"/>
    </font>
    <font>
      <sz val="11"/>
      <color indexed="62"/>
      <name val="Arial"/>
      <family val="3"/>
      <charset val="134"/>
    </font>
    <font>
      <sz val="11"/>
      <color indexed="8"/>
      <name val="Arial"/>
      <family val="3"/>
      <charset val="134"/>
    </font>
    <font>
      <sz val="11"/>
      <color indexed="5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95" fillId="0" borderId="0" xfId="0" applyNumberFormat="1" applyFont="1">
      <alignment vertical="center"/>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Alignment="1" applyProtection="1">
      <alignment horizontal="center" vertical="center"/>
      <protection locked="0"/>
    </xf>
    <xf numFmtId="0" fontId="113" fillId="5" borderId="32" xfId="0" applyFont="1" applyFill="1" applyBorder="1" applyAlignment="1" applyProtection="1">
      <alignment horizontal="right" vertical="center" wrapText="1"/>
      <protection locked="0"/>
    </xf>
    <xf numFmtId="0" fontId="273" fillId="0" borderId="43" xfId="0" applyFont="1" applyBorder="1" applyAlignment="1">
      <alignment horizontal="center"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181" fontId="275" fillId="12" borderId="0" xfId="0" applyNumberFormat="1" applyFont="1" applyFill="1" applyAlignment="1" applyProtection="1">
      <alignment horizontal="center" vertical="center" wrapText="1"/>
      <protection locked="0"/>
    </xf>
    <xf numFmtId="183" fontId="77" fillId="0" borderId="1" xfId="0" applyNumberFormat="1" applyFont="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1" fontId="209" fillId="12" borderId="0" xfId="0" applyNumberFormat="1" applyFont="1" applyFill="1" applyAlignment="1" applyProtection="1">
      <alignment horizontal="center" vertical="center" wrapText="1"/>
      <protection locked="0"/>
    </xf>
    <xf numFmtId="181" fontId="276" fillId="12" borderId="0" xfId="0" applyNumberFormat="1" applyFont="1" applyFill="1" applyAlignment="1" applyProtection="1">
      <alignment horizontal="center" vertical="center" wrapText="1"/>
      <protection locked="0"/>
    </xf>
    <xf numFmtId="181" fontId="277" fillId="12" borderId="0" xfId="0" applyNumberFormat="1" applyFont="1" applyFill="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429207</xdr:colOff>
      <xdr:row>0</xdr:row>
      <xdr:rowOff>0</xdr:rowOff>
    </xdr:from>
    <xdr:to>
      <xdr:col>18</xdr:col>
      <xdr:colOff>27371</xdr:colOff>
      <xdr:row>19</xdr:row>
      <xdr:rowOff>79331</xdr:rowOff>
    </xdr:to>
    <xdr:pic>
      <xdr:nvPicPr>
        <xdr:cNvPr id="2" name="图片 1">
          <a:extLst>
            <a:ext uri="{FF2B5EF4-FFF2-40B4-BE49-F238E27FC236}">
              <a16:creationId xmlns:a16="http://schemas.microsoft.com/office/drawing/2014/main" id="{0C1A26D9-E498-251B-70A9-2194D6EB0D19}"/>
            </a:ext>
          </a:extLst>
        </xdr:cNvPr>
        <xdr:cNvPicPr>
          <a:picLocks noChangeAspect="1"/>
        </xdr:cNvPicPr>
      </xdr:nvPicPr>
      <xdr:blipFill>
        <a:blip xmlns:r="http://schemas.openxmlformats.org/officeDocument/2006/relationships" r:embed="rId1"/>
        <a:stretch>
          <a:fillRect/>
        </a:stretch>
      </xdr:blipFill>
      <xdr:spPr>
        <a:xfrm>
          <a:off x="4696407" y="0"/>
          <a:ext cx="6303764" cy="3554051"/>
        </a:xfrm>
        <a:prstGeom prst="rect">
          <a:avLst/>
        </a:prstGeom>
      </xdr:spPr>
    </xdr:pic>
    <xdr:clientData/>
  </xdr:twoCellAnchor>
  <xdr:twoCellAnchor editAs="oneCell">
    <xdr:from>
      <xdr:col>8</xdr:col>
      <xdr:colOff>0</xdr:colOff>
      <xdr:row>20</xdr:row>
      <xdr:rowOff>0</xdr:rowOff>
    </xdr:from>
    <xdr:to>
      <xdr:col>29</xdr:col>
      <xdr:colOff>426971</xdr:colOff>
      <xdr:row>54</xdr:row>
      <xdr:rowOff>37314</xdr:rowOff>
    </xdr:to>
    <xdr:pic>
      <xdr:nvPicPr>
        <xdr:cNvPr id="3" name="图片 2">
          <a:extLst>
            <a:ext uri="{FF2B5EF4-FFF2-40B4-BE49-F238E27FC236}">
              <a16:creationId xmlns:a16="http://schemas.microsoft.com/office/drawing/2014/main" id="{E629382B-7F6D-F3F1-AEC4-63CCE4EC8CB7}"/>
            </a:ext>
          </a:extLst>
        </xdr:cNvPr>
        <xdr:cNvPicPr>
          <a:picLocks noChangeAspect="1"/>
        </xdr:cNvPicPr>
      </xdr:nvPicPr>
      <xdr:blipFill>
        <a:blip xmlns:r="http://schemas.openxmlformats.org/officeDocument/2006/relationships" r:embed="rId2"/>
        <a:stretch>
          <a:fillRect/>
        </a:stretch>
      </xdr:blipFill>
      <xdr:spPr>
        <a:xfrm>
          <a:off x="4876800" y="3657600"/>
          <a:ext cx="13228571" cy="6285714"/>
        </a:xfrm>
        <a:prstGeom prst="rect">
          <a:avLst/>
        </a:prstGeom>
      </xdr:spPr>
    </xdr:pic>
    <xdr:clientData/>
  </xdr:twoCellAnchor>
  <xdr:twoCellAnchor editAs="oneCell">
    <xdr:from>
      <xdr:col>3</xdr:col>
      <xdr:colOff>7620</xdr:colOff>
      <xdr:row>7</xdr:row>
      <xdr:rowOff>15240</xdr:rowOff>
    </xdr:from>
    <xdr:to>
      <xdr:col>7</xdr:col>
      <xdr:colOff>571500</xdr:colOff>
      <xdr:row>21</xdr:row>
      <xdr:rowOff>177596</xdr:rowOff>
    </xdr:to>
    <xdr:pic>
      <xdr:nvPicPr>
        <xdr:cNvPr id="4" name="图片 3">
          <a:extLst>
            <a:ext uri="{FF2B5EF4-FFF2-40B4-BE49-F238E27FC236}">
              <a16:creationId xmlns:a16="http://schemas.microsoft.com/office/drawing/2014/main" id="{A15E31FB-32BB-57D1-BF16-42C6A4E9078E}"/>
            </a:ext>
          </a:extLst>
        </xdr:cNvPr>
        <xdr:cNvPicPr>
          <a:picLocks noChangeAspect="1"/>
        </xdr:cNvPicPr>
      </xdr:nvPicPr>
      <xdr:blipFill>
        <a:blip xmlns:r="http://schemas.openxmlformats.org/officeDocument/2006/relationships" r:embed="rId3"/>
        <a:stretch>
          <a:fillRect/>
        </a:stretch>
      </xdr:blipFill>
      <xdr:spPr>
        <a:xfrm>
          <a:off x="1836420" y="1295400"/>
          <a:ext cx="3002280" cy="2730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487492</xdr:colOff>
      <xdr:row>35</xdr:row>
      <xdr:rowOff>52359</xdr:rowOff>
    </xdr:to>
    <xdr:pic>
      <xdr:nvPicPr>
        <xdr:cNvPr id="2" name="图片 1">
          <a:extLst>
            <a:ext uri="{FF2B5EF4-FFF2-40B4-BE49-F238E27FC236}">
              <a16:creationId xmlns:a16="http://schemas.microsoft.com/office/drawing/2014/main" id="{2937AAD4-3E05-ED02-A2B2-D4B2DB63256C}"/>
            </a:ext>
          </a:extLst>
        </xdr:cNvPr>
        <xdr:cNvPicPr>
          <a:picLocks noChangeAspect="1"/>
        </xdr:cNvPicPr>
      </xdr:nvPicPr>
      <xdr:blipFill>
        <a:blip xmlns:r="http://schemas.openxmlformats.org/officeDocument/2006/relationships" r:embed="rId1"/>
        <a:stretch>
          <a:fillRect/>
        </a:stretch>
      </xdr:blipFill>
      <xdr:spPr>
        <a:xfrm>
          <a:off x="0" y="0"/>
          <a:ext cx="9021892" cy="6453159"/>
        </a:xfrm>
        <a:prstGeom prst="rect">
          <a:avLst/>
        </a:prstGeom>
      </xdr:spPr>
    </xdr:pic>
    <xdr:clientData/>
  </xdr:twoCellAnchor>
  <xdr:twoCellAnchor editAs="oneCell">
    <xdr:from>
      <xdr:col>0</xdr:col>
      <xdr:colOff>243840</xdr:colOff>
      <xdr:row>35</xdr:row>
      <xdr:rowOff>144780</xdr:rowOff>
    </xdr:from>
    <xdr:to>
      <xdr:col>14</xdr:col>
      <xdr:colOff>587967</xdr:colOff>
      <xdr:row>71</xdr:row>
      <xdr:rowOff>31374</xdr:rowOff>
    </xdr:to>
    <xdr:pic>
      <xdr:nvPicPr>
        <xdr:cNvPr id="3" name="图片 2">
          <a:extLst>
            <a:ext uri="{FF2B5EF4-FFF2-40B4-BE49-F238E27FC236}">
              <a16:creationId xmlns:a16="http://schemas.microsoft.com/office/drawing/2014/main" id="{98581509-1AF1-EE16-F0EC-534CD02C35F6}"/>
            </a:ext>
          </a:extLst>
        </xdr:cNvPr>
        <xdr:cNvPicPr>
          <a:picLocks noChangeAspect="1"/>
        </xdr:cNvPicPr>
      </xdr:nvPicPr>
      <xdr:blipFill>
        <a:blip xmlns:r="http://schemas.openxmlformats.org/officeDocument/2006/relationships" r:embed="rId2"/>
        <a:stretch>
          <a:fillRect/>
        </a:stretch>
      </xdr:blipFill>
      <xdr:spPr>
        <a:xfrm>
          <a:off x="243840" y="6545580"/>
          <a:ext cx="8878527" cy="6470274"/>
        </a:xfrm>
        <a:prstGeom prst="rect">
          <a:avLst/>
        </a:prstGeom>
      </xdr:spPr>
    </xdr:pic>
    <xdr:clientData/>
  </xdr:twoCellAnchor>
  <xdr:twoCellAnchor editAs="oneCell">
    <xdr:from>
      <xdr:col>0</xdr:col>
      <xdr:colOff>76200</xdr:colOff>
      <xdr:row>71</xdr:row>
      <xdr:rowOff>175260</xdr:rowOff>
    </xdr:from>
    <xdr:to>
      <xdr:col>14</xdr:col>
      <xdr:colOff>468499</xdr:colOff>
      <xdr:row>104</xdr:row>
      <xdr:rowOff>50460</xdr:rowOff>
    </xdr:to>
    <xdr:pic>
      <xdr:nvPicPr>
        <xdr:cNvPr id="4" name="图片 3">
          <a:extLst>
            <a:ext uri="{FF2B5EF4-FFF2-40B4-BE49-F238E27FC236}">
              <a16:creationId xmlns:a16="http://schemas.microsoft.com/office/drawing/2014/main" id="{A917AED7-9FC4-8546-F397-29120A91C46B}"/>
            </a:ext>
          </a:extLst>
        </xdr:cNvPr>
        <xdr:cNvPicPr>
          <a:picLocks noChangeAspect="1"/>
        </xdr:cNvPicPr>
      </xdr:nvPicPr>
      <xdr:blipFill>
        <a:blip xmlns:r="http://schemas.openxmlformats.org/officeDocument/2006/relationships" r:embed="rId3"/>
        <a:stretch>
          <a:fillRect/>
        </a:stretch>
      </xdr:blipFill>
      <xdr:spPr>
        <a:xfrm>
          <a:off x="76200" y="13159740"/>
          <a:ext cx="8926699" cy="5910240"/>
        </a:xfrm>
        <a:prstGeom prst="rect">
          <a:avLst/>
        </a:prstGeom>
      </xdr:spPr>
    </xdr:pic>
    <xdr:clientData/>
  </xdr:twoCellAnchor>
  <xdr:twoCellAnchor editAs="oneCell">
    <xdr:from>
      <xdr:col>15</xdr:col>
      <xdr:colOff>425694</xdr:colOff>
      <xdr:row>15</xdr:row>
      <xdr:rowOff>76199</xdr:rowOff>
    </xdr:from>
    <xdr:to>
      <xdr:col>30</xdr:col>
      <xdr:colOff>530019</xdr:colOff>
      <xdr:row>48</xdr:row>
      <xdr:rowOff>168614</xdr:rowOff>
    </xdr:to>
    <xdr:pic>
      <xdr:nvPicPr>
        <xdr:cNvPr id="5" name="图片 4">
          <a:extLst>
            <a:ext uri="{FF2B5EF4-FFF2-40B4-BE49-F238E27FC236}">
              <a16:creationId xmlns:a16="http://schemas.microsoft.com/office/drawing/2014/main" id="{9874F6BA-3EB2-721E-6832-489C75B55C63}"/>
            </a:ext>
          </a:extLst>
        </xdr:cNvPr>
        <xdr:cNvPicPr>
          <a:picLocks noChangeAspect="1"/>
        </xdr:cNvPicPr>
      </xdr:nvPicPr>
      <xdr:blipFill>
        <a:blip xmlns:r="http://schemas.openxmlformats.org/officeDocument/2006/relationships" r:embed="rId4"/>
        <a:stretch>
          <a:fillRect/>
        </a:stretch>
      </xdr:blipFill>
      <xdr:spPr>
        <a:xfrm>
          <a:off x="9569694" y="2819399"/>
          <a:ext cx="9720765" cy="6127455"/>
        </a:xfrm>
        <a:prstGeom prst="rect">
          <a:avLst/>
        </a:prstGeom>
      </xdr:spPr>
    </xdr:pic>
    <xdr:clientData/>
  </xdr:twoCellAnchor>
  <xdr:twoCellAnchor editAs="oneCell">
    <xdr:from>
      <xdr:col>15</xdr:col>
      <xdr:colOff>457794</xdr:colOff>
      <xdr:row>49</xdr:row>
      <xdr:rowOff>15240</xdr:rowOff>
    </xdr:from>
    <xdr:to>
      <xdr:col>30</xdr:col>
      <xdr:colOff>95694</xdr:colOff>
      <xdr:row>83</xdr:row>
      <xdr:rowOff>178063</xdr:rowOff>
    </xdr:to>
    <xdr:pic>
      <xdr:nvPicPr>
        <xdr:cNvPr id="6" name="图片 5">
          <a:extLst>
            <a:ext uri="{FF2B5EF4-FFF2-40B4-BE49-F238E27FC236}">
              <a16:creationId xmlns:a16="http://schemas.microsoft.com/office/drawing/2014/main" id="{44DAD0C4-FCC6-33C2-4A7E-CF66FEA1974E}"/>
            </a:ext>
          </a:extLst>
        </xdr:cNvPr>
        <xdr:cNvPicPr>
          <a:picLocks noChangeAspect="1"/>
        </xdr:cNvPicPr>
      </xdr:nvPicPr>
      <xdr:blipFill>
        <a:blip xmlns:r="http://schemas.openxmlformats.org/officeDocument/2006/relationships" r:embed="rId5"/>
        <a:stretch>
          <a:fillRect/>
        </a:stretch>
      </xdr:blipFill>
      <xdr:spPr>
        <a:xfrm>
          <a:off x="9601794" y="8976360"/>
          <a:ext cx="9254340" cy="63807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北京市通州区半壁店大街4-4号1至2层全部房地产抵押价值预评估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受贵公司委托，我公司对北京市通州区半壁店大街4-4号1至2层全部房地产抵押价值进行了预评估。</v>
      </c>
    </row>
    <row r="7" spans="1:2">
      <c r="A7" s="1119" t="s">
        <v>566</v>
      </c>
      <c r="B7" s="1120" t="str">
        <f>'预评函-1'!A7</f>
        <v>估价对象为北京市通州区半壁店大街4-4号1至2层全部房地产，为李文恕所有。根据《国有土地使用证》[]，估价对象（分摊）出让国有建设用地使用权面积为0平方米，建筑面积为150.97平方米。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半壁店大街4-4号1至2层全部房地产,属李文恕开发建设的商业项目，该项目尚在开发建设中。根据《国有土地使用证》[]，估价对象（分摊）出让国有建设用地使用权面积为0平方米，规划建筑面积为150.97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半壁店大街4-4号1至2层全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16，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354</v>
      </c>
    </row>
    <row r="21" spans="1:2">
      <c r="A21" s="1119" t="s">
        <v>537</v>
      </c>
      <c r="B21" s="1120">
        <f ca="1">'预评函-2'!D7</f>
        <v>23471</v>
      </c>
    </row>
    <row r="22" spans="1:2">
      <c r="A22" s="1119" t="s">
        <v>538</v>
      </c>
      <c r="B22" s="1120" t="str">
        <f ca="1">'预评函-2'!D6</f>
        <v>叁佰伍拾肆万元整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354</v>
      </c>
    </row>
    <row r="31" spans="1:2">
      <c r="A31" s="1119" t="s">
        <v>576</v>
      </c>
      <c r="B31" s="1120">
        <f ca="1">'预评函-2'!D15</f>
        <v>23471</v>
      </c>
    </row>
    <row r="32" spans="1:2">
      <c r="A32" s="1119" t="s">
        <v>543</v>
      </c>
      <c r="B32" s="1120" t="str">
        <f ca="1">'预评函-2'!D14</f>
        <v>叁佰伍拾肆万元整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北京市通州区半壁店大街4-4号1至2层全部房地产</v>
      </c>
    </row>
    <row r="42" spans="1:2" ht="31.2">
      <c r="A42" s="1119" t="s">
        <v>590</v>
      </c>
      <c r="B42" s="1120" t="str">
        <f>'预评函-3'!B2</f>
        <v>建筑面积</v>
      </c>
    </row>
    <row r="43" spans="1:2">
      <c r="A43" s="1119" t="s">
        <v>591</v>
      </c>
      <c r="B43" s="1120">
        <f>'预评函-3'!B4</f>
        <v>150.97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半壁店大街4-4号1至2层全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7" t="s">
        <v>2580</v>
      </c>
      <c r="J2" s="3217"/>
      <c r="K2" s="3217"/>
      <c r="L2" s="3217"/>
      <c r="M2" s="3217"/>
      <c r="N2" s="3217"/>
      <c r="O2" s="3217"/>
      <c r="P2" s="3217"/>
      <c r="Q2" s="3217"/>
      <c r="R2" s="3217"/>
    </row>
    <row r="3" spans="1:18">
      <c r="A3" s="2760" t="s">
        <v>2501</v>
      </c>
      <c r="B3" s="2761">
        <f>项目基本情况!D3</f>
        <v>45839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1.46</v>
      </c>
      <c r="D5" s="2765">
        <f>IF(ISERROR(ROUND(POWER(1+E5,A5-C5)*(POWER(1+E5,C5)-1)/(POWER(1+E5,A5)-1),3)),0,ROUND(POWER(1+E5,A5-C5)*(POWER(1+E5,C5)-1)/(POWER(1+E5,A5)-1),4))</f>
        <v>7.0300000000000001E-2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11.47</v>
      </c>
      <c r="D6" s="2765">
        <f>IF(ISERROR(ROUND(POWER(1+E6,A6-C6)*(POWER(1+E6,C6)-1)/(POWER(1+E6,A6)-1),3)),0,ROUND(POWER(1+E6,A6-C6)*(POWER(1+E6,C6)-1)/(POWER(1+E6,A6)-1),4))</f>
        <v>0.42159999999999997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31.49</v>
      </c>
      <c r="D7" s="2765">
        <f>IF(ISERROR(ROUND(POWER(1+E7,A7-C7)*(POWER(1+E7,C7)-1)/(POWER(1+E7,A7)-1),3)),0,ROUND(POWER(1+E7,A7-C7)*(POWER(1+E7,C7)-1)/(POWER(1+E7,A7)-1),4))</f>
        <v>0.75790000000000002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5" t="str">
        <f>IF(B10="北京市","北京市",C10)&amp;F10&amp;IF(结果表!G1="在建","出让国有建设用地使用权及在建建筑物",IF(结果表!G1="土地","出让国有建设用地使用权",))&amp;B9&amp;"预评估"</f>
        <v>北京市通州区半壁店大街4-4号1至2层全部房地产抵押价值预评估</v>
      </c>
      <c r="C1" s="3226"/>
      <c r="D1" s="3226"/>
      <c r="E1" s="3226"/>
      <c r="F1" s="3226"/>
      <c r="G1" s="3226"/>
      <c r="H1" s="3226"/>
      <c r="I1" s="3227"/>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北京市通州区半壁店大街4-4号1至2层全部房地产抵押价值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北京市通州区半壁店大街4-4号1至2层全部房地产</v>
      </c>
      <c r="T2" s="1618"/>
      <c r="U2" s="1618"/>
      <c r="V2" s="1618"/>
      <c r="W2" s="1618"/>
      <c r="X2" s="1618"/>
      <c r="Y2" s="1618"/>
      <c r="Z2" s="1618"/>
      <c r="AA2" s="1618"/>
      <c r="AB2" s="1618"/>
    </row>
    <row r="3" spans="1:30">
      <c r="A3" s="294" t="s">
        <v>2170</v>
      </c>
      <c r="B3" s="2184"/>
      <c r="C3" s="2185" t="s">
        <v>2171</v>
      </c>
      <c r="D3" s="2184">
        <v>45839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3410</v>
      </c>
      <c r="C8" s="2200"/>
      <c r="D8" s="3228" t="s">
        <v>2177</v>
      </c>
      <c r="E8" s="2201" t="s">
        <v>3411</v>
      </c>
      <c r="F8" s="2202"/>
      <c r="G8" s="2440"/>
      <c r="H8" s="2440"/>
      <c r="I8" s="2440"/>
      <c r="J8" s="2243"/>
      <c r="K8" s="2398"/>
      <c r="L8" s="2397"/>
      <c r="M8" s="2397"/>
      <c r="N8" s="2243"/>
      <c r="O8" s="1670"/>
      <c r="P8" s="2243"/>
      <c r="Q8" s="2243"/>
      <c r="R8" s="2243"/>
    </row>
    <row r="9" spans="1:30" ht="13.8" thickBot="1">
      <c r="A9" s="2203" t="s">
        <v>2178</v>
      </c>
      <c r="B9" s="2204" t="s">
        <v>3411</v>
      </c>
      <c r="C9" s="2205"/>
      <c r="D9" s="3229"/>
      <c r="E9" s="2204"/>
      <c r="F9" s="2206"/>
      <c r="G9" s="2441"/>
      <c r="H9" s="2441"/>
      <c r="I9" s="2441"/>
      <c r="J9" s="2243"/>
      <c r="K9" s="2400"/>
      <c r="L9" s="2397"/>
      <c r="M9" s="2397"/>
      <c r="N9" s="2243"/>
      <c r="O9" s="1670"/>
      <c r="P9" s="2243"/>
      <c r="Q9" s="2243"/>
      <c r="R9" s="2243"/>
    </row>
    <row r="10" spans="1:30" ht="13.8" thickTop="1">
      <c r="A10" s="2207" t="s">
        <v>2179</v>
      </c>
      <c r="B10" s="2208" t="s">
        <v>3412</v>
      </c>
      <c r="C10" s="2209"/>
      <c r="D10" s="2192"/>
      <c r="E10" s="2210" t="s">
        <v>2180</v>
      </c>
      <c r="F10" s="3161" t="s">
        <v>3415</v>
      </c>
      <c r="G10" s="2442"/>
      <c r="H10" s="2443"/>
      <c r="I10" s="2444"/>
      <c r="J10" s="2243"/>
      <c r="K10" s="2400"/>
      <c r="L10" s="2397"/>
      <c r="M10" s="2397"/>
      <c r="N10" s="2243"/>
      <c r="O10" s="1670"/>
      <c r="P10" s="2243"/>
      <c r="Q10" s="2243"/>
      <c r="R10" s="2243"/>
    </row>
    <row r="11" spans="1:30">
      <c r="A11" s="2211" t="s">
        <v>2181</v>
      </c>
      <c r="B11" s="2212" t="s">
        <v>3413</v>
      </c>
      <c r="C11" s="3160" t="s">
        <v>3414</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51681</v>
      </c>
      <c r="E13" s="3175" t="s">
        <v>3499</v>
      </c>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16</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5"/>
      <c r="C16" s="3236"/>
      <c r="D16" s="3237"/>
      <c r="E16" s="2220" t="s">
        <v>2194</v>
      </c>
      <c r="F16" s="3238">
        <f>D15</f>
        <v>16</v>
      </c>
      <c r="G16" s="3239"/>
      <c r="H16" s="3239"/>
      <c r="I16" s="3240"/>
      <c r="J16" s="2243"/>
      <c r="K16" s="2401"/>
      <c r="L16" s="1670"/>
      <c r="M16" s="1670"/>
      <c r="N16" s="2243"/>
      <c r="O16" s="1670"/>
      <c r="P16" s="2243"/>
      <c r="Q16" s="2243"/>
      <c r="R16" s="2243"/>
    </row>
    <row r="17" spans="1:28">
      <c r="A17" s="305" t="s">
        <v>2195</v>
      </c>
      <c r="B17" s="294" t="s">
        <v>2196</v>
      </c>
      <c r="C17" s="8">
        <f>'数据-汇总表'!E3</f>
        <v>150.97</v>
      </c>
      <c r="D17" s="1256" t="s">
        <v>2197</v>
      </c>
      <c r="E17" s="3241" t="s">
        <v>2198</v>
      </c>
      <c r="F17" s="3242"/>
      <c r="G17" s="3242"/>
      <c r="H17" s="3242"/>
      <c r="I17" s="324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4" t="s">
        <v>2202</v>
      </c>
      <c r="F18" s="3245"/>
      <c r="G18" s="3245"/>
      <c r="H18" s="3245"/>
      <c r="I18" s="3246"/>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3433</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1" t="s">
        <v>2206</v>
      </c>
      <c r="C20" s="3232"/>
      <c r="D20" s="3233" t="s">
        <v>2207</v>
      </c>
      <c r="E20" s="3234"/>
      <c r="F20" s="2428" t="s">
        <v>1056</v>
      </c>
      <c r="G20" s="2440"/>
      <c r="H20" s="2440"/>
      <c r="I20" s="2440"/>
      <c r="J20" s="2243"/>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9" t="s">
        <v>2214</v>
      </c>
      <c r="B27" s="312" t="s">
        <v>2215</v>
      </c>
      <c r="C27" s="2223" t="s">
        <v>3449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9"/>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9"/>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0"/>
      <c r="B30" s="294" t="s">
        <v>2218</v>
      </c>
      <c r="C30" s="3221"/>
      <c r="D30" s="3222"/>
      <c r="E30" s="2440"/>
      <c r="F30" s="2440"/>
      <c r="G30" s="2440"/>
      <c r="H30" s="2440"/>
      <c r="I30" s="2440"/>
      <c r="J30" s="2243"/>
      <c r="K30" s="2400"/>
      <c r="L30" s="2397"/>
      <c r="M30" s="2397"/>
      <c r="N30" s="2243"/>
      <c r="O30" s="1670"/>
      <c r="P30" s="2243"/>
      <c r="Q30" s="2243"/>
      <c r="R30" s="2243"/>
      <c r="S30" s="2243"/>
      <c r="T30" s="2243"/>
      <c r="U30" s="2243"/>
      <c r="V30" s="2243"/>
    </row>
    <row r="31" spans="1:28">
      <c r="A31" s="3223" t="s">
        <v>2219</v>
      </c>
      <c r="B31" s="2229" t="s">
        <v>3448</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4"/>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4"/>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3"/>
      <c r="V34" s="2243"/>
    </row>
    <row r="35" spans="1:30">
      <c r="A35" s="2234"/>
      <c r="B35" s="3218" t="s">
        <v>2229</v>
      </c>
      <c r="C35" s="3218"/>
      <c r="D35" s="3218"/>
      <c r="E35" s="321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239</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150.97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150.97</v>
      </c>
      <c r="H5" s="13">
        <f t="shared" ref="H5:AT5" si="0">SUM(H13:H656)</f>
        <v>150.97</v>
      </c>
      <c r="I5" s="13">
        <f t="shared" si="0"/>
        <v>150.97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150.97</v>
      </c>
      <c r="BA5" s="15">
        <f t="shared" si="1"/>
        <v>150.97</v>
      </c>
      <c r="BB5" s="15">
        <f t="shared" si="1"/>
        <v>150.97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2242" t="s">
        <v>3498</v>
      </c>
      <c r="D13" s="1513" t="s">
        <v>3416</v>
      </c>
      <c r="E13" s="13">
        <f>IF($C$3="是",ROUND($A$3*G13/$B$3,2),ROUND($A$3*(G13-AT13)/$B$3,2))</f>
        <v>0</v>
      </c>
      <c r="F13" s="29"/>
      <c r="G13" s="30">
        <f>H13+AC13+AT13</f>
        <v>150.97</v>
      </c>
      <c r="H13" s="17">
        <f>SUMIF(I$12:AB$12,"总值",I13:AB13)</f>
        <v>150.97</v>
      </c>
      <c r="I13" s="1514">
        <v>150.97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4-4</v>
      </c>
      <c r="AY13" s="1260">
        <f>ROUND($AY$6*AZ13/$AZ$5,2)</f>
        <v>0</v>
      </c>
      <c r="AZ13" s="13">
        <f>BA13+BL13</f>
        <v>150.97</v>
      </c>
      <c r="BA13" s="13">
        <f>SUM(BB13:BK13)</f>
        <v>150.97</v>
      </c>
      <c r="BB13" s="13">
        <f>IF($D13="是",I13-J13,0)</f>
        <v>150.97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7"/>
      <c r="G2" s="2430"/>
      <c r="H2" s="2431"/>
      <c r="I2" s="2145" t="s">
        <v>1132</v>
      </c>
      <c r="J2" s="2437"/>
      <c r="K2" s="2437"/>
      <c r="L2" s="2437"/>
      <c r="M2" s="2437"/>
      <c r="N2" s="2438"/>
      <c r="O2" s="2437"/>
      <c r="P2" s="2437"/>
    </row>
    <row r="3" spans="1:16" ht="15" thickBot="1">
      <c r="A3" s="3257" t="s">
        <v>1105</v>
      </c>
      <c r="B3" s="3257"/>
      <c r="C3" s="3257"/>
      <c r="D3" s="41">
        <f>'数据-基础表'!AY6</f>
        <v>0</v>
      </c>
      <c r="E3" s="41">
        <f>'数据-基础表'!AZ5</f>
        <v>150.97</v>
      </c>
      <c r="F3" s="2437"/>
      <c r="G3" s="42"/>
      <c r="H3" s="43" t="s">
        <v>1106</v>
      </c>
      <c r="I3" s="802" t="e">
        <f>ROUND('数据-基础表'!B3/'数据-基础表'!A3,2)</f>
        <v>#DIV/0!</v>
      </c>
      <c r="J3" s="2437"/>
      <c r="K3" s="2437"/>
      <c r="L3" s="2437"/>
      <c r="M3" s="2437"/>
      <c r="N3" s="2438"/>
      <c r="O3" s="2437"/>
      <c r="P3" s="2437"/>
    </row>
    <row r="4" spans="1:16" ht="14.4">
      <c r="A4" s="3258"/>
      <c r="B4" s="3259"/>
      <c r="C4" s="326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1" t="s">
        <v>1110</v>
      </c>
      <c r="C5" s="326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1" t="s">
        <v>1111</v>
      </c>
      <c r="C6" s="3261"/>
      <c r="D6" s="43">
        <f>ROUND($D$3*E6/$E$3,2)</f>
        <v>0</v>
      </c>
      <c r="E6" s="44">
        <f>E3-E5</f>
        <v>150.97</v>
      </c>
      <c r="F6" s="2437"/>
      <c r="G6" s="1529" t="s">
        <v>1112</v>
      </c>
      <c r="H6" s="45" t="s">
        <v>1113</v>
      </c>
      <c r="I6" s="2433" t="e">
        <f>ROUND(F31/D31,2)</f>
        <v>#DIV/0!</v>
      </c>
      <c r="J6" s="2437"/>
      <c r="K6" s="2437"/>
      <c r="L6" s="2437"/>
      <c r="M6" s="2437"/>
      <c r="N6" s="2437"/>
      <c r="O6" s="2437"/>
      <c r="P6" s="2437"/>
    </row>
    <row r="7" spans="1:16" ht="15" thickBot="1">
      <c r="A7" s="3253"/>
      <c r="B7" s="3254"/>
      <c r="C7" s="3255"/>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150.97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150.97</v>
      </c>
      <c r="F16" s="2437"/>
      <c r="G16" s="2437"/>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tr">
        <f>'数据-基础表'!C13</f>
        <v>4-4</v>
      </c>
      <c r="D19" s="43">
        <f>ROUND($D$3*E19/$E$3,2)</f>
        <v>0</v>
      </c>
      <c r="E19" s="51">
        <f t="shared" ref="E19:E26" si="1">SUM(F19:G19)</f>
        <v>150.97</v>
      </c>
      <c r="F19" s="2555">
        <f>'数据-基础表'!G13</f>
        <v>150.97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150.97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150.97</v>
      </c>
      <c r="F27" s="1072">
        <f>IF(SUM(F19:F26)=E8,SUM(F19:F26),"地上面积有误")</f>
        <v>150.97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150.97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150.97</v>
      </c>
      <c r="F31" s="644">
        <f>F27+F30</f>
        <v>150.97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4-4</v>
      </c>
      <c r="B6" s="1587" t="str">
        <f>IF(A6=0,"","经营性")</f>
        <v>经营性</v>
      </c>
      <c r="C6" s="1588" t="s">
        <v>673</v>
      </c>
      <c r="D6" s="805">
        <f>SUMIF(项目基本情况!C$12:I$12,C6,项目基本情况!C$14:I$14)</f>
        <v>40</v>
      </c>
      <c r="E6" s="804">
        <f>IF(B6="","",SUMIF(项目基本情况!C$12:I$12,C6,项目基本情况!C$13:I$13))</f>
        <v>51681</v>
      </c>
      <c r="F6" s="61">
        <f>SUMIF(项目基本情况!C$12:I$12,C6,项目基本情况!C$15:I$15)</f>
        <v>16</v>
      </c>
      <c r="G6" s="62">
        <f>IF(ISERROR(ROUND(POWER(1+H6,D6-F6)*(POWER(1+H6,F6)-1)/(POWER(1+H6,D6)-1),3)),0,ROUND(POWER(1+H6,D6-F6)*(POWER(1+H6,F6)-1)/(POWER(1+H6,D6)-1),3))</f>
        <v>0.63200000000000001</v>
      </c>
      <c r="H6" s="691">
        <v>0.05</v>
      </c>
      <c r="I6" s="691">
        <v>5.5E-2</v>
      </c>
      <c r="J6" s="63">
        <v>7.0000000000000007E-2</v>
      </c>
      <c r="K6" s="970">
        <f>SUMIF('数据-汇总表'!C$19:C$33,A6,'数据-汇总表'!E$19:E$33)</f>
        <v>150.97</v>
      </c>
      <c r="L6" s="692">
        <v>3500</v>
      </c>
      <c r="M6" s="64">
        <f t="shared" ref="M6:M14" si="0">ROUND(K6*L6/10000,0)</f>
        <v>53</v>
      </c>
      <c r="N6" s="690">
        <f>N20</f>
        <v>0.63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v>3.3</v>
      </c>
      <c r="V6" s="67">
        <v>0.02</v>
      </c>
      <c r="W6" s="67">
        <v>0.1</v>
      </c>
      <c r="X6" s="979"/>
      <c r="Y6" s="68">
        <f>N6</f>
        <v>0.63</v>
      </c>
      <c r="Z6" s="69"/>
      <c r="AA6" s="63"/>
      <c r="AB6" s="63"/>
      <c r="AC6" s="979"/>
      <c r="AD6" s="70"/>
      <c r="AE6" s="980">
        <f t="shared" ref="AE6:AE13" ca="1" si="1">IF(AN6="",0,SUMIF(INDIRECT("'"&amp;AN6&amp;"'"&amp;"!E:E"),$AE$5,INDIRECT("'"&amp;AN6&amp;"'"&amp;"!F:F")))</f>
        <v>16</v>
      </c>
      <c r="AF6" s="74"/>
      <c r="AG6" s="130">
        <f>IF(AF6="",0,AE6-AF6)</f>
        <v>0</v>
      </c>
      <c r="AH6" s="71"/>
      <c r="AI6" s="73">
        <v>365</v>
      </c>
      <c r="AJ6" s="74"/>
      <c r="AK6" s="75">
        <v>0.01</v>
      </c>
      <c r="AL6" s="76">
        <v>1E-3</v>
      </c>
      <c r="AM6" s="77">
        <v>0.01</v>
      </c>
      <c r="AN6" s="1589" t="s">
        <v>3430</v>
      </c>
      <c r="AO6" s="50">
        <f t="shared" ref="AO6:AO13" ca="1" si="2">SUMIF(INDIRECT("'"&amp;AN6&amp;"'"&amp;"!A:A"),"总价",INDIRECT("'"&amp;AN6&amp;"'"&amp;"!B:B"))</f>
        <v>180.2724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3">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4">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5">IF($N$5="成新度","——",ROUND(M7*N7,0))</f>
        <v>——</v>
      </c>
      <c r="P7" s="65" t="str">
        <f t="shared" ref="P7:P14" si="6">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7">ROUND($L$14*S7/10000,0)</f>
        <v>0</v>
      </c>
      <c r="U7" s="3124"/>
      <c r="V7" s="67"/>
      <c r="W7" s="67"/>
      <c r="X7" s="979"/>
      <c r="Y7" s="68"/>
      <c r="Z7" s="69"/>
      <c r="AA7" s="63"/>
      <c r="AB7" s="63"/>
      <c r="AC7" s="979"/>
      <c r="AD7" s="70"/>
      <c r="AE7" s="980">
        <f t="shared" ca="1" si="1"/>
        <v>0</v>
      </c>
      <c r="AF7" s="74"/>
      <c r="AG7" s="130">
        <f t="shared" ref="AG7:AG13" si="8">IF(AF7="",0,AE7-AF7)</f>
        <v>0</v>
      </c>
      <c r="AH7" s="71"/>
      <c r="AI7" s="73"/>
      <c r="AJ7" s="74"/>
      <c r="AK7" s="75"/>
      <c r="AL7" s="76"/>
      <c r="AM7" s="77"/>
      <c r="AN7" s="1589"/>
      <c r="AO7" s="50" t="e">
        <f t="shared" ca="1" si="2"/>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3"/>
        <v/>
      </c>
      <c r="C8" s="1588"/>
      <c r="D8" s="805">
        <f>SUMIF(项目基本情况!C$12:I$12,C8,项目基本情况!C$14:I$14)</f>
        <v>0</v>
      </c>
      <c r="E8" s="804" t="str">
        <f>IF(B8="","",SUMIF(项目基本情况!C$12:I$12,C8,项目基本情况!C$13:I$13))</f>
        <v/>
      </c>
      <c r="F8" s="61">
        <f>SUMIF(项目基本情况!C$12:I$12,C8,项目基本情况!C$15:I$15)</f>
        <v>0</v>
      </c>
      <c r="G8" s="62">
        <f t="shared" si="4"/>
        <v>0</v>
      </c>
      <c r="H8" s="691"/>
      <c r="I8" s="691"/>
      <c r="J8" s="63"/>
      <c r="K8" s="970">
        <f>SUMIF('数据-汇总表'!C$19:C$33,A8,'数据-汇总表'!E$19:E$33)</f>
        <v>0</v>
      </c>
      <c r="L8" s="692"/>
      <c r="M8" s="64">
        <f>ROUND(K8*L8/10000,0)</f>
        <v>0</v>
      </c>
      <c r="N8" s="690"/>
      <c r="O8" s="64" t="str">
        <f t="shared" si="5"/>
        <v>——</v>
      </c>
      <c r="P8" s="65" t="str">
        <f t="shared" si="6"/>
        <v>——</v>
      </c>
      <c r="Q8" s="693"/>
      <c r="R8" s="66">
        <f ca="1">SUMIF('数据-汇总表'!C$19:C$33,A8,'数据-汇总表'!R$19:R$27)</f>
        <v>0</v>
      </c>
      <c r="S8" s="49">
        <f>IF('数据-汇总表'!$I$17="按面积比例",SUMIF('数据-汇总表'!C$19:C$33,A8,'数据-汇总表'!K$19:K$33),SUMIF('数据-汇总表'!C$19:C$33,A8,'数据-汇总表'!N$19:N$33))</f>
        <v>0</v>
      </c>
      <c r="T8" s="1092">
        <f t="shared" si="7"/>
        <v>0</v>
      </c>
      <c r="U8" s="3125"/>
      <c r="V8" s="694"/>
      <c r="W8" s="694"/>
      <c r="X8" s="979"/>
      <c r="Y8" s="68"/>
      <c r="Z8" s="69"/>
      <c r="AA8" s="63"/>
      <c r="AB8" s="63"/>
      <c r="AC8" s="979"/>
      <c r="AD8" s="70"/>
      <c r="AE8" s="980">
        <f t="shared" ca="1" si="1"/>
        <v>0</v>
      </c>
      <c r="AF8" s="74"/>
      <c r="AG8" s="130">
        <f t="shared" si="8"/>
        <v>0</v>
      </c>
      <c r="AH8" s="695"/>
      <c r="AI8" s="73"/>
      <c r="AJ8" s="74"/>
      <c r="AK8" s="696"/>
      <c r="AL8" s="697"/>
      <c r="AM8" s="106"/>
      <c r="AN8" s="1589"/>
      <c r="AO8" s="50" t="e">
        <f t="shared" ca="1" si="2"/>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3"/>
        <v/>
      </c>
      <c r="C9" s="1588"/>
      <c r="D9" s="805">
        <f>SUMIF(项目基本情况!C$12:I$12,C9,项目基本情况!C$14:I$14)</f>
        <v>0</v>
      </c>
      <c r="E9" s="804" t="str">
        <f>IF(B9="","",SUMIF(项目基本情况!C$12:I$12,C9,项目基本情况!C$13:I$13))</f>
        <v/>
      </c>
      <c r="F9" s="61">
        <f>SUMIF(项目基本情况!C$12:I$12,C9,项目基本情况!C$15:I$15)</f>
        <v>0</v>
      </c>
      <c r="G9" s="62">
        <f t="shared" si="4"/>
        <v>0</v>
      </c>
      <c r="H9" s="63"/>
      <c r="I9" s="63"/>
      <c r="J9" s="63"/>
      <c r="K9" s="970">
        <f>SUMIF('数据-汇总表'!C$19:C$33,A9,'数据-汇总表'!E$19:E$33)</f>
        <v>0</v>
      </c>
      <c r="L9" s="692"/>
      <c r="M9" s="64">
        <f t="shared" si="0"/>
        <v>0</v>
      </c>
      <c r="N9" s="690"/>
      <c r="O9" s="64" t="str">
        <f t="shared" si="5"/>
        <v>——</v>
      </c>
      <c r="P9" s="65" t="str">
        <f t="shared" si="6"/>
        <v>——</v>
      </c>
      <c r="Q9" s="78"/>
      <c r="R9" s="66">
        <f ca="1">SUMIF('数据-汇总表'!C$19:C$33,A9,'数据-汇总表'!R$19:R$27)</f>
        <v>0</v>
      </c>
      <c r="S9" s="49">
        <f>IF('数据-汇总表'!$I$17="按面积比例",SUMIF('数据-汇总表'!C$19:C$33,A9,'数据-汇总表'!K$19:K$33),SUMIF('数据-汇总表'!C$19:C$33,A9,'数据-汇总表'!N$19:N$33))</f>
        <v>0</v>
      </c>
      <c r="T9" s="1092">
        <f t="shared" si="7"/>
        <v>0</v>
      </c>
      <c r="U9" s="3124"/>
      <c r="V9" s="67"/>
      <c r="W9" s="67"/>
      <c r="X9" s="979"/>
      <c r="Y9" s="68"/>
      <c r="Z9" s="69"/>
      <c r="AA9" s="63"/>
      <c r="AB9" s="63"/>
      <c r="AC9" s="979"/>
      <c r="AD9" s="70"/>
      <c r="AE9" s="980">
        <f t="shared" ca="1" si="1"/>
        <v>0</v>
      </c>
      <c r="AF9" s="74"/>
      <c r="AG9" s="130">
        <f t="shared" si="8"/>
        <v>0</v>
      </c>
      <c r="AH9" s="71"/>
      <c r="AI9" s="73"/>
      <c r="AJ9" s="74"/>
      <c r="AK9" s="75"/>
      <c r="AL9" s="76"/>
      <c r="AM9" s="77"/>
      <c r="AN9" s="1589"/>
      <c r="AO9" s="50" t="e">
        <f t="shared" ca="1" si="2"/>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3"/>
        <v/>
      </c>
      <c r="C10" s="1588"/>
      <c r="D10" s="805">
        <f>SUMIF(项目基本情况!C$12:I$12,C10,项目基本情况!C$14:I$14)</f>
        <v>0</v>
      </c>
      <c r="E10" s="804" t="str">
        <f>IF(B10="","",SUMIF(项目基本情况!C$12:I$12,C10,项目基本情况!C$13:I$13))</f>
        <v/>
      </c>
      <c r="F10" s="61">
        <f>SUMIF(项目基本情况!C$12:I$12,C10,项目基本情况!C$15:I$15)</f>
        <v>0</v>
      </c>
      <c r="G10" s="62">
        <f t="shared" si="4"/>
        <v>0</v>
      </c>
      <c r="H10" s="63"/>
      <c r="I10" s="63"/>
      <c r="J10" s="63"/>
      <c r="K10" s="970">
        <f>SUMIF('数据-汇总表'!C$19:C$33,A10,'数据-汇总表'!E$19:E$33)</f>
        <v>0</v>
      </c>
      <c r="L10" s="692"/>
      <c r="M10" s="64">
        <f t="shared" si="0"/>
        <v>0</v>
      </c>
      <c r="N10" s="690"/>
      <c r="O10" s="64" t="str">
        <f t="shared" si="5"/>
        <v>——</v>
      </c>
      <c r="P10" s="65" t="str">
        <f t="shared" si="6"/>
        <v>——</v>
      </c>
      <c r="Q10" s="78"/>
      <c r="R10" s="66">
        <f ca="1">SUMIF('数据-汇总表'!C$19:C$33,A10,'数据-汇总表'!R$19:R$27)</f>
        <v>0</v>
      </c>
      <c r="S10" s="49">
        <f>IF('数据-汇总表'!$I$17="按面积比例",SUMIF('数据-汇总表'!C$19:C$33,A10,'数据-汇总表'!K$19:K$33),SUMIF('数据-汇总表'!C$19:C$33,A10,'数据-汇总表'!N$19:N$33))</f>
        <v>0</v>
      </c>
      <c r="T10" s="1092">
        <f t="shared" si="7"/>
        <v>0</v>
      </c>
      <c r="U10" s="3124"/>
      <c r="V10" s="67"/>
      <c r="W10" s="67"/>
      <c r="X10" s="979"/>
      <c r="Y10" s="68"/>
      <c r="Z10" s="69"/>
      <c r="AA10" s="63"/>
      <c r="AB10" s="63"/>
      <c r="AC10" s="979"/>
      <c r="AD10" s="70"/>
      <c r="AE10" s="980">
        <f t="shared" ca="1" si="1"/>
        <v>0</v>
      </c>
      <c r="AF10" s="74"/>
      <c r="AG10" s="130">
        <f t="shared" si="8"/>
        <v>0</v>
      </c>
      <c r="AH10" s="71"/>
      <c r="AI10" s="73"/>
      <c r="AJ10" s="74"/>
      <c r="AK10" s="75"/>
      <c r="AL10" s="76"/>
      <c r="AM10" s="77"/>
      <c r="AN10" s="1589"/>
      <c r="AO10" s="50" t="e">
        <f t="shared" ca="1" si="2"/>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3"/>
        <v/>
      </c>
      <c r="C11" s="1588"/>
      <c r="D11" s="805">
        <f>SUMIF(项目基本情况!C$12:I$12,C11,项目基本情况!C$14:I$14)</f>
        <v>0</v>
      </c>
      <c r="E11" s="804" t="str">
        <f>IF(B11="","",SUMIF(项目基本情况!C$12:I$12,C11,项目基本情况!C$13:I$13))</f>
        <v/>
      </c>
      <c r="F11" s="61">
        <f>SUMIF(项目基本情况!C$12:I$12,C11,项目基本情况!C$15:I$15)</f>
        <v>0</v>
      </c>
      <c r="G11" s="62">
        <f t="shared" si="4"/>
        <v>0</v>
      </c>
      <c r="H11" s="63"/>
      <c r="I11" s="63"/>
      <c r="J11" s="63"/>
      <c r="K11" s="970">
        <f>SUMIF('数据-汇总表'!C$19:C$33,A11,'数据-汇总表'!E$19:E$33)</f>
        <v>0</v>
      </c>
      <c r="L11" s="79"/>
      <c r="M11" s="64">
        <f t="shared" si="0"/>
        <v>0</v>
      </c>
      <c r="N11" s="690"/>
      <c r="O11" s="64" t="str">
        <f t="shared" si="5"/>
        <v>——</v>
      </c>
      <c r="P11" s="65" t="str">
        <f t="shared" si="6"/>
        <v>——</v>
      </c>
      <c r="Q11" s="78"/>
      <c r="R11" s="66">
        <f ca="1">SUMIF('数据-汇总表'!C$19:C$33,A11,'数据-汇总表'!R$19:R$27)</f>
        <v>0</v>
      </c>
      <c r="S11" s="49">
        <f>IF('数据-汇总表'!$I$17="按面积比例",SUMIF('数据-汇总表'!C$19:C$33,A11,'数据-汇总表'!K$19:K$33),SUMIF('数据-汇总表'!C$19:C$33,A11,'数据-汇总表'!N$19:N$33))</f>
        <v>0</v>
      </c>
      <c r="T11" s="1092">
        <f t="shared" si="7"/>
        <v>0</v>
      </c>
      <c r="U11" s="3124"/>
      <c r="V11" s="63"/>
      <c r="W11" s="63"/>
      <c r="X11" s="979"/>
      <c r="Y11" s="68"/>
      <c r="Z11" s="81"/>
      <c r="AA11" s="63"/>
      <c r="AB11" s="63"/>
      <c r="AC11" s="979"/>
      <c r="AD11" s="70"/>
      <c r="AE11" s="980">
        <f t="shared" ca="1" si="1"/>
        <v>0</v>
      </c>
      <c r="AF11" s="74"/>
      <c r="AG11" s="130">
        <f t="shared" si="8"/>
        <v>0</v>
      </c>
      <c r="AH11" s="71"/>
      <c r="AI11" s="73"/>
      <c r="AJ11" s="74"/>
      <c r="AK11" s="75"/>
      <c r="AL11" s="76"/>
      <c r="AM11" s="77"/>
      <c r="AN11" s="1589"/>
      <c r="AO11" s="50" t="e">
        <f t="shared" ca="1" si="2"/>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3"/>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5"/>
        <v>——</v>
      </c>
      <c r="P12" s="65" t="str">
        <f t="shared" si="6"/>
        <v>——</v>
      </c>
      <c r="Q12" s="78"/>
      <c r="R12" s="66">
        <f ca="1">SUMIF('数据-汇总表'!C$19:C$33,A12,'数据-汇总表'!R$19:R$27)</f>
        <v>0</v>
      </c>
      <c r="S12" s="49">
        <f>IF('数据-汇总表'!$I$17="按面积比例",SUMIF('数据-汇总表'!C$19:C$33,A12,'数据-汇总表'!K$19:K$33),SUMIF('数据-汇总表'!C$19:C$33,A12,'数据-汇总表'!N$19:N$33))</f>
        <v>0</v>
      </c>
      <c r="T12" s="1092">
        <f t="shared" si="7"/>
        <v>0</v>
      </c>
      <c r="U12" s="3124"/>
      <c r="V12" s="63"/>
      <c r="W12" s="63"/>
      <c r="X12" s="979"/>
      <c r="Y12" s="68"/>
      <c r="Z12" s="81"/>
      <c r="AA12" s="63"/>
      <c r="AB12" s="63"/>
      <c r="AC12" s="979"/>
      <c r="AD12" s="70"/>
      <c r="AE12" s="980">
        <f t="shared" ca="1" si="1"/>
        <v>0</v>
      </c>
      <c r="AF12" s="74"/>
      <c r="AG12" s="130">
        <f t="shared" si="8"/>
        <v>0</v>
      </c>
      <c r="AH12" s="71"/>
      <c r="AI12" s="73"/>
      <c r="AJ12" s="74"/>
      <c r="AK12" s="75"/>
      <c r="AL12" s="76"/>
      <c r="AM12" s="77"/>
      <c r="AN12" s="1589"/>
      <c r="AO12" s="50" t="e">
        <f t="shared" ca="1" si="2"/>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3"/>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5"/>
        <v>——</v>
      </c>
      <c r="P13" s="65" t="str">
        <f t="shared" si="6"/>
        <v>——</v>
      </c>
      <c r="Q13" s="78"/>
      <c r="R13" s="66">
        <f ca="1">SUMIF('数据-汇总表'!C$19:C$33,A13,'数据-汇总表'!R$19:R$27)</f>
        <v>0</v>
      </c>
      <c r="S13" s="49">
        <f>IF('数据-汇总表'!$I$17="按面积比例",SUMIF('数据-汇总表'!C$19:C$33,A13,'数据-汇总表'!K$19:K$33),SUMIF('数据-汇总表'!C$19:C$33,A13,'数据-汇总表'!N$19:N$33))</f>
        <v>0</v>
      </c>
      <c r="T13" s="1092">
        <f t="shared" si="7"/>
        <v>0</v>
      </c>
      <c r="U13" s="3126"/>
      <c r="V13" s="67"/>
      <c r="W13" s="67"/>
      <c r="X13" s="979"/>
      <c r="Y13" s="68"/>
      <c r="Z13" s="69"/>
      <c r="AA13" s="63"/>
      <c r="AB13" s="63"/>
      <c r="AC13" s="979"/>
      <c r="AD13" s="70"/>
      <c r="AE13" s="980">
        <f t="shared" ca="1" si="1"/>
        <v>0</v>
      </c>
      <c r="AF13" s="74"/>
      <c r="AG13" s="130">
        <f t="shared" si="8"/>
        <v>0</v>
      </c>
      <c r="AH13" s="71"/>
      <c r="AI13" s="73"/>
      <c r="AJ13" s="74"/>
      <c r="AK13" s="75"/>
      <c r="AL13" s="76"/>
      <c r="AM13" s="77"/>
      <c r="AN13" s="1589"/>
      <c r="AO13" s="50" t="e">
        <f t="shared" ca="1" si="2"/>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5"/>
        <v>——</v>
      </c>
      <c r="P14" s="65" t="str">
        <f t="shared" si="6"/>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0.63200000000000001</v>
      </c>
      <c r="H16" s="84">
        <f>ROUND(SUMPRODUCT(H6:H13,K6:K13)/SUMPRODUCT((H6:H13&gt;0)*(K6:K13)),3)</f>
        <v>0.05</v>
      </c>
      <c r="I16" s="85"/>
      <c r="J16" s="85"/>
      <c r="K16" s="86">
        <f>SUM(K6:K15)</f>
        <v>150.97</v>
      </c>
      <c r="L16" s="87">
        <f>ROUND(M16*10000/SUM(K6:K14),0)</f>
        <v>3511</v>
      </c>
      <c r="M16" s="87">
        <f>SUM(M6:M14)</f>
        <v>53</v>
      </c>
      <c r="N16" s="88">
        <f>ROUND(SUMPRODUCT(M6:M14,N6:N14)/M16,3)</f>
        <v>0.63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3" t="s">
        <v>3426</v>
      </c>
      <c r="N17" s="2446">
        <f>面积明细!E3</f>
        <v>2002</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3165">
        <f>N17-B20+40</f>
        <v>2041</v>
      </c>
      <c r="M18" s="3163" t="s">
        <v>3427</v>
      </c>
      <c r="N18" s="2446">
        <f>ROUND(1-(1-2%)*(2025-N17)/50,2)</f>
        <v>0.55000000000000004</v>
      </c>
      <c r="O18" s="2446"/>
      <c r="P18" s="2446"/>
      <c r="Q18" s="2446"/>
      <c r="R18" s="2446"/>
      <c r="S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3" t="s">
        <v>3428</v>
      </c>
      <c r="N19" s="2446">
        <v>0.7</v>
      </c>
      <c r="O19" s="2446"/>
      <c r="P19" s="2446"/>
      <c r="Q19" s="2446"/>
      <c r="R19" s="2446"/>
      <c r="S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2300</v>
      </c>
      <c r="D20" s="2449"/>
      <c r="E20" s="2437"/>
      <c r="F20" s="2437"/>
      <c r="G20" s="2437"/>
      <c r="H20" s="2437"/>
      <c r="I20" s="2437"/>
      <c r="J20" s="2437"/>
      <c r="K20" s="2447"/>
      <c r="L20" s="2447"/>
      <c r="M20" s="3163" t="s">
        <v>3429</v>
      </c>
      <c r="N20" s="2446">
        <f>ROUND((N18+N19)/2,2)</f>
        <v>0.63</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4" t="s">
        <v>3432</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2" t="s">
        <v>2286</v>
      </c>
      <c r="B1" s="3263"/>
      <c r="C1" s="3263"/>
      <c r="D1" s="3263"/>
      <c r="E1" s="3263"/>
      <c r="F1" s="3263"/>
      <c r="G1" s="326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150.97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45839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354</v>
      </c>
      <c r="C5" s="2298">
        <f ca="1">IF(B5=D14,结果表!H102,ROUND(B5*10000/$B$1,0))</f>
        <v>23471</v>
      </c>
      <c r="D5" s="2298" t="e">
        <f ca="1">ROUND(B5*10000/$B$2,0)</f>
        <v>#DIV/0!</v>
      </c>
      <c r="E5" s="2459"/>
      <c r="F5" s="2460"/>
      <c r="G5" s="2460"/>
      <c r="H5" s="2460"/>
      <c r="I5" s="2460"/>
      <c r="J5" s="2460"/>
      <c r="K5" s="2460"/>
    </row>
    <row r="6" spans="1:11" ht="15.6">
      <c r="A6" s="2298" t="s">
        <v>656</v>
      </c>
      <c r="B6" s="2298">
        <f ca="1">SUM(G14:G23)</f>
        <v>354</v>
      </c>
      <c r="C6" s="2298">
        <f ca="1">IF(B6=G14,结果表!H108,ROUND(B6*10000/$B$1,0))</f>
        <v>23471</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150.97</v>
      </c>
      <c r="C14" s="2304"/>
      <c r="D14" s="2304">
        <f ca="1">结果表!H101</f>
        <v>354</v>
      </c>
      <c r="E14" s="2304">
        <f ca="1">ROUND(D14*10000/B14,0)</f>
        <v>23448</v>
      </c>
      <c r="F14" s="2304" t="e">
        <f ca="1">ROUND(D14*10000/C14,0)</f>
        <v>#DIV/0!</v>
      </c>
      <c r="G14" s="2304">
        <f ca="1">D14</f>
        <v>354</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I11" sqref="I1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3497</v>
      </c>
      <c r="D1" s="646"/>
      <c r="E1" s="646"/>
      <c r="F1" s="1621" t="s">
        <v>1263</v>
      </c>
      <c r="G1" s="1453" t="s">
        <v>3448</v>
      </c>
      <c r="H1" s="1621" t="str">
        <f>IF(G1="现房","——","估价对象范围")</f>
        <v>——</v>
      </c>
      <c r="I1" s="1622"/>
    </row>
    <row r="2" spans="1:12" ht="21.75" customHeight="1" thickBot="1">
      <c r="A2" s="3298" t="str">
        <f>项目基本情况!S2</f>
        <v>北京市通州区半壁店大街4-4号1至2层全部房地产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3494</v>
      </c>
      <c r="D4" s="1626" t="s">
        <v>3430</v>
      </c>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6</v>
      </c>
      <c r="D14" s="3301">
        <v>4</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8" t="s">
        <v>2131</v>
      </c>
      <c r="F18" s="3289"/>
      <c r="G18" s="3289"/>
      <c r="H18" s="3289"/>
      <c r="I18" s="3289"/>
      <c r="K18" s="294" t="s">
        <v>1289</v>
      </c>
      <c r="L18" s="294">
        <f>IF(C1="",'数据-汇总表'!E3,SUMIF(项目类型,C1,'数据-汇总表'!E17:E26)+SUMIF(项目类型,C1,'数据-汇总表'!I17:I26))</f>
        <v>150.97</v>
      </c>
      <c r="M18" s="294">
        <f>IF(C1="",'数据-汇总表'!E3,SUMIF(项目类型,C1,'数据-汇总表'!E17:E26))</f>
        <v>150.97</v>
      </c>
    </row>
    <row r="19" spans="1:36" ht="14.4">
      <c r="A19" s="1630" t="s">
        <v>1290</v>
      </c>
      <c r="B19" s="1631" t="s">
        <v>1291</v>
      </c>
      <c r="C19" s="126">
        <f ca="1">SUMIF(INDIRECT("'"&amp;C4&amp;"'"&amp;"!A:A"),结果表!B19,INDIRECT("'"&amp;C4&amp;"'"&amp;"!B:B"))</f>
        <v>470.37720000000002</v>
      </c>
      <c r="D19" s="127">
        <f ca="1">SUMIF(INDIRECT("'"&amp;D4&amp;"'"&amp;"!A:A"),结果表!B19,INDIRECT("'"&amp;D4&amp;"'"&amp;"!B:B"))</f>
        <v>180.2724</v>
      </c>
      <c r="E19" s="1630" t="s">
        <v>1292</v>
      </c>
      <c r="F19" s="1631" t="s">
        <v>1291</v>
      </c>
      <c r="G19" s="128">
        <f ca="1">ROUND(C19*$C$18+D19*$D$18,0)</f>
        <v>354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31157</v>
      </c>
      <c r="D20" s="130">
        <f ca="1">SUMIF(INDIRECT("'"&amp;D4&amp;"'"&amp;"!A:A"),结果表!B20,INDIRECT("'"&amp;D4&amp;"'"&amp;"!B:B"))</f>
        <v>11941</v>
      </c>
      <c r="E20" s="1633"/>
      <c r="F20" s="43" t="s">
        <v>1295</v>
      </c>
      <c r="G20" s="131">
        <f ca="1">ROUND(C20*$C$18+D20*$D$18,0)</f>
        <v>23471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1.6092579895757755</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23471</v>
      </c>
      <c r="D32" s="1641" t="s">
        <v>3495</v>
      </c>
      <c r="E32" s="121"/>
      <c r="F32" s="121"/>
      <c r="G32" s="121"/>
      <c r="H32" s="121"/>
      <c r="I32" s="121"/>
    </row>
    <row r="33" spans="1:15" ht="14.4">
      <c r="A33" s="740" t="s">
        <v>1306</v>
      </c>
      <c r="B33" s="123"/>
      <c r="C33" s="1642" t="s">
        <v>3496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354</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8">
        <v>1</v>
      </c>
      <c r="K46" s="3328" t="s">
        <v>1331</v>
      </c>
      <c r="L46" s="3328"/>
      <c r="M46" s="3348"/>
      <c r="N46" s="3348"/>
      <c r="O46" s="3348"/>
    </row>
    <row r="47" spans="1:15" ht="12" customHeight="1">
      <c r="A47" s="152" t="s">
        <v>1332</v>
      </c>
      <c r="B47" s="153"/>
      <c r="C47" s="154"/>
      <c r="D47" s="1024" t="s">
        <v>1333</v>
      </c>
      <c r="E47" s="294" t="s">
        <v>1334</v>
      </c>
      <c r="F47" s="155" t="s">
        <v>1335</v>
      </c>
      <c r="G47" s="2331" t="s">
        <v>1336</v>
      </c>
      <c r="H47" s="2332"/>
      <c r="I47" s="151"/>
      <c r="J47" s="2308">
        <v>2</v>
      </c>
      <c r="K47" s="3328" t="s">
        <v>1337</v>
      </c>
      <c r="L47" s="3328"/>
      <c r="M47" s="3349">
        <f>'数据-取费表'!B2</f>
        <v>45839</v>
      </c>
      <c r="N47" s="3349"/>
      <c r="O47" s="3349"/>
    </row>
    <row r="48" spans="1:15" ht="26.4">
      <c r="A48" s="3297" t="s">
        <v>1338</v>
      </c>
      <c r="B48" s="3280"/>
      <c r="C48" s="3280"/>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8" t="s">
        <v>1340</v>
      </c>
      <c r="L48" s="3328"/>
      <c r="M48" s="3350">
        <f ca="1">H101</f>
        <v>354</v>
      </c>
      <c r="N48" s="3350"/>
      <c r="O48" s="3350"/>
    </row>
    <row r="49" spans="1:35" ht="25.5" customHeight="1">
      <c r="A49" s="2151" t="s">
        <v>1341</v>
      </c>
      <c r="B49" s="3264" t="s">
        <v>1342</v>
      </c>
      <c r="C49" s="3264"/>
      <c r="D49" s="1478">
        <v>0</v>
      </c>
      <c r="E49" s="316" t="s">
        <v>1343</v>
      </c>
      <c r="F49" s="2231" t="s">
        <v>28</v>
      </c>
      <c r="G49" s="3334"/>
      <c r="H49" s="2133" t="s">
        <v>2134</v>
      </c>
      <c r="I49" s="2134"/>
      <c r="J49" s="2308">
        <v>4</v>
      </c>
      <c r="K49" s="3328" t="str">
        <f>IF(项目基本情况!E8="房地产抵押价值","房地产抵押价值","抵押担保权已注销时的房地产抵押价值")</f>
        <v>房地产抵押价值</v>
      </c>
      <c r="L49" s="3328"/>
      <c r="M49" s="3350">
        <f ca="1">IF(项目基本情况!E8="房地产抵押价值",H107,H109)</f>
        <v>354</v>
      </c>
      <c r="N49" s="3350"/>
      <c r="O49" s="3350"/>
    </row>
    <row r="50" spans="1:35" ht="25.5" customHeight="1">
      <c r="A50" s="2336"/>
      <c r="B50" s="3264" t="s">
        <v>1344</v>
      </c>
      <c r="C50" s="3264"/>
      <c r="D50" s="2188"/>
      <c r="E50" s="323"/>
      <c r="F50" s="2231"/>
      <c r="G50" s="3335"/>
      <c r="H50" s="2135" t="s">
        <v>2135</v>
      </c>
      <c r="I50" s="2134"/>
      <c r="J50" s="3347" t="s">
        <v>1345</v>
      </c>
      <c r="K50" s="3347"/>
      <c r="L50" s="3347"/>
      <c r="M50" s="3347"/>
      <c r="N50" s="3347"/>
      <c r="O50" s="3347"/>
    </row>
    <row r="51" spans="1:35" ht="20.399999999999999" customHeight="1">
      <c r="A51" s="2337"/>
      <c r="B51" s="3264" t="s">
        <v>1346</v>
      </c>
      <c r="C51" s="3264"/>
      <c r="D51" s="1024"/>
      <c r="E51" s="319"/>
      <c r="F51" s="2231"/>
      <c r="G51" s="3336"/>
      <c r="H51" s="2135" t="s">
        <v>2136</v>
      </c>
      <c r="I51" s="2134"/>
      <c r="J51" s="2309" t="s">
        <v>1347</v>
      </c>
      <c r="K51" s="3328" t="s">
        <v>1348</v>
      </c>
      <c r="L51" s="3328"/>
      <c r="M51" s="2309" t="s">
        <v>1349</v>
      </c>
      <c r="N51" s="2309" t="s">
        <v>1350</v>
      </c>
      <c r="O51" s="2309" t="s">
        <v>1351</v>
      </c>
    </row>
    <row r="52" spans="1:35" ht="24" customHeight="1">
      <c r="A52" s="2152" t="s">
        <v>1352</v>
      </c>
      <c r="B52" s="3264" t="s">
        <v>1353</v>
      </c>
      <c r="C52" s="3264"/>
      <c r="D52" s="1024">
        <f ca="1">ROUND(D45*'数据-取费表'!B41/(1+'数据-取费表'!C42),0)</f>
        <v>19</v>
      </c>
      <c r="E52" s="1256" t="s">
        <v>1354</v>
      </c>
      <c r="F52" s="2338">
        <f>'数据-取费表'!B41</f>
        <v>5.6000000000000001E-2</v>
      </c>
      <c r="G52" s="2339"/>
      <c r="H52" s="2329"/>
      <c r="I52" s="1669"/>
      <c r="J52" s="2308">
        <v>1</v>
      </c>
      <c r="K52" s="3329" t="s">
        <v>1355</v>
      </c>
      <c r="L52" s="3329"/>
      <c r="M52" s="2310" t="b">
        <f>D48</f>
        <v>0</v>
      </c>
      <c r="N52" s="2308" t="str">
        <f>E48</f>
        <v>销售额×税（费）率</v>
      </c>
      <c r="O52" s="2311">
        <f>F48</f>
        <v>5.6000000000000001E-2</v>
      </c>
    </row>
    <row r="53" spans="1:35" ht="12" customHeight="1">
      <c r="A53" s="2152" t="s">
        <v>1356</v>
      </c>
      <c r="B53" s="3290" t="s">
        <v>2291</v>
      </c>
      <c r="C53" s="3291"/>
      <c r="D53" s="1024">
        <f ca="1">ROUND(D45*'数据-取费表'!B41/(1+'数据-取费表'!C42),0)</f>
        <v>19</v>
      </c>
      <c r="E53" s="1256" t="s">
        <v>1354</v>
      </c>
      <c r="F53" s="2338">
        <f>'数据-取费表'!B41</f>
        <v>5.6000000000000001E-2</v>
      </c>
      <c r="G53" s="2339"/>
      <c r="H53" s="2329"/>
      <c r="I53" s="1669"/>
      <c r="J53" s="2308">
        <v>2</v>
      </c>
      <c r="K53" s="3329" t="s">
        <v>1357</v>
      </c>
      <c r="L53" s="3329"/>
      <c r="M53" s="2310">
        <f t="shared" ref="M53:O54" ca="1" si="0">D55</f>
        <v>0</v>
      </c>
      <c r="N53" s="2308" t="str">
        <f t="shared" si="0"/>
        <v>销售额×税（费）率</v>
      </c>
      <c r="O53" s="2311" t="str">
        <f t="shared" si="0"/>
        <v>免征</v>
      </c>
    </row>
    <row r="54" spans="1:35" ht="12" customHeight="1">
      <c r="A54" s="2152" t="s">
        <v>1358</v>
      </c>
      <c r="B54" s="3290" t="s">
        <v>2292</v>
      </c>
      <c r="C54" s="3291"/>
      <c r="D54" s="1024">
        <f ca="1">C68</f>
        <v>19</v>
      </c>
      <c r="E54" s="319" t="s">
        <v>1359</v>
      </c>
      <c r="F54" s="2338">
        <f>'数据-取费表'!B41</f>
        <v>5.6000000000000001E-2</v>
      </c>
      <c r="G54" s="2339"/>
      <c r="H54" s="2340"/>
      <c r="I54" s="1669"/>
      <c r="J54" s="2308">
        <v>3</v>
      </c>
      <c r="K54" s="3329" t="s">
        <v>1360</v>
      </c>
      <c r="L54" s="3329"/>
      <c r="M54" s="2310">
        <f t="shared" ca="1" si="0"/>
        <v>200</v>
      </c>
      <c r="N54" s="2308" t="str">
        <f t="shared" si="0"/>
        <v>增值额×税（费）率</v>
      </c>
      <c r="O54" s="2312" t="str">
        <f t="shared" si="0"/>
        <v>免征</v>
      </c>
    </row>
    <row r="55" spans="1:35" ht="24" customHeight="1">
      <c r="A55" s="3279" t="s">
        <v>1361</v>
      </c>
      <c r="B55" s="3280"/>
      <c r="C55" s="3280"/>
      <c r="D55" s="12">
        <f ca="1">IF(H55="个人住宅",0,ROUND(D45*I55,0))</f>
        <v>0</v>
      </c>
      <c r="E55" s="1256" t="s">
        <v>1362</v>
      </c>
      <c r="F55" s="2338" t="str">
        <f>IF(H55="正常",I55,"免征")</f>
        <v>免征</v>
      </c>
      <c r="G55" s="2339"/>
      <c r="H55" s="2335"/>
      <c r="I55" s="157">
        <f>'数据-取费表'!B49</f>
        <v>5.0000000000000001E-4</v>
      </c>
      <c r="J55" s="2308">
        <f>IF(H59="非个人房产","",4)</f>
        <v>4</v>
      </c>
      <c r="K55" s="3329" t="str">
        <f>IF(H59="非个人房产","——","个人所得税")</f>
        <v>个人所得税</v>
      </c>
      <c r="L55" s="3329"/>
      <c r="M55" s="2313">
        <f ca="1">D59</f>
        <v>3</v>
      </c>
      <c r="N55" s="1883" t="str">
        <f>E59</f>
        <v>差额计税</v>
      </c>
      <c r="O55" s="2314">
        <f>F59</f>
        <v>0.01</v>
      </c>
    </row>
    <row r="56" spans="1:35" ht="25.2">
      <c r="A56" s="3279" t="s">
        <v>1363</v>
      </c>
      <c r="B56" s="3280"/>
      <c r="C56" s="3280"/>
      <c r="D56" s="12">
        <f ca="1">IF(H56="个人住宅",D57,D58)</f>
        <v>200</v>
      </c>
      <c r="E56" s="1256" t="s">
        <v>1364</v>
      </c>
      <c r="F56" s="2338" t="str">
        <f>IF(H56="正常",F58,"免征")</f>
        <v>免征</v>
      </c>
      <c r="G56" s="2341" t="s">
        <v>1365</v>
      </c>
      <c r="H56" s="2342"/>
      <c r="I56" s="1670"/>
      <c r="J56" s="2308" t="str">
        <f>IF(项目基本情况!K6="上海银行",IF(J55="",4,J55+1),"")</f>
        <v/>
      </c>
      <c r="K56" s="3352" t="str">
        <f>IF(项目基本情况!K6="上海银行","其他处置费用","")</f>
        <v/>
      </c>
      <c r="L56" s="3353"/>
      <c r="M56" s="2310" t="str">
        <f>IF(项目基本情况!K6="上海银行",M69,"")</f>
        <v/>
      </c>
      <c r="N56" s="3352" t="str">
        <f>IF(项目基本情况!K6="上海银行","包含处置中涉及的律师、诉讼、拍卖、评估等费用","")</f>
        <v/>
      </c>
      <c r="O56" s="3355"/>
    </row>
    <row r="57" spans="1:35" ht="13.2">
      <c r="A57" s="2152" t="s">
        <v>1341</v>
      </c>
      <c r="B57" s="3290" t="s">
        <v>1366</v>
      </c>
      <c r="C57" s="3291"/>
      <c r="D57" s="1478">
        <v>0</v>
      </c>
      <c r="E57" s="316" t="s">
        <v>1343</v>
      </c>
      <c r="F57" s="294"/>
      <c r="G57" s="2339"/>
      <c r="H57" s="2343"/>
      <c r="I57" s="1670"/>
      <c r="J57" s="3329">
        <f>IF(AND(J55="",J56=""),4,IF(项目基本情况!K6="上海银行",结果表!J56+1,结果表!J55+1))</f>
        <v>5</v>
      </c>
      <c r="K57" s="3329" t="s">
        <v>1367</v>
      </c>
      <c r="L57" s="2315" t="s">
        <v>1368</v>
      </c>
      <c r="M57" s="2316"/>
      <c r="N57" s="2317">
        <f ca="1">SUMIF(M52:M56,"&lt;9e307")</f>
        <v>203</v>
      </c>
      <c r="O57" s="2318"/>
      <c r="P57" s="2462">
        <f ca="1">N57/M49</f>
        <v>0.57344632768361581</v>
      </c>
    </row>
    <row r="58" spans="1:35" ht="25.2">
      <c r="A58" s="2152" t="s">
        <v>1352</v>
      </c>
      <c r="B58" s="3290" t="s">
        <v>1369</v>
      </c>
      <c r="C58" s="3264"/>
      <c r="D58" s="12">
        <f ca="1">IF(H58="转让取得",C81,C97)</f>
        <v>200</v>
      </c>
      <c r="E58" s="1256" t="s">
        <v>1364</v>
      </c>
      <c r="F58" s="294" t="s">
        <v>28</v>
      </c>
      <c r="G58" s="2339"/>
      <c r="H58" s="2342"/>
      <c r="I58" s="1670"/>
      <c r="J58" s="3329"/>
      <c r="K58" s="3329"/>
      <c r="L58" s="2315" t="s">
        <v>1370</v>
      </c>
      <c r="M58" s="2319"/>
      <c r="N58" s="2320" t="str">
        <f ca="1">NUMBERSTRING(INT(N57*10000),2)&amp;"元整"</f>
        <v>贰佰零叁万元整</v>
      </c>
      <c r="O58" s="2321"/>
    </row>
    <row r="59" spans="1:35" ht="24.6" thickBot="1">
      <c r="A59" s="3332" t="s">
        <v>1371</v>
      </c>
      <c r="B59" s="3333"/>
      <c r="C59" s="3333"/>
      <c r="D59" s="2344">
        <f ca="1">IF(H59="非个人房产","——",IF(H59="个人住宅（满五唯一有凭证）",0,IF(H59="个人其他（无凭证）",ROUND(D45*F59,0),ROUND(C67*F59,0))))</f>
        <v>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0">
        <f>J57+1</f>
        <v>6</v>
      </c>
      <c r="K59" s="3329" t="s">
        <v>1372</v>
      </c>
      <c r="L59" s="2308" t="s">
        <v>1368</v>
      </c>
      <c r="M59" s="2322"/>
      <c r="N59" s="2323">
        <f ca="1">M49-N57</f>
        <v>151</v>
      </c>
      <c r="O59" s="2324"/>
    </row>
    <row r="60" spans="1:35" ht="12" customHeight="1">
      <c r="A60" s="1671"/>
      <c r="B60" s="646"/>
      <c r="C60" s="646"/>
      <c r="D60" s="646"/>
      <c r="E60" s="1466"/>
      <c r="F60" s="1670"/>
      <c r="G60" s="1670"/>
      <c r="H60" s="151"/>
      <c r="I60" s="121"/>
      <c r="J60" s="3331"/>
      <c r="K60" s="3329"/>
      <c r="L60" s="2315" t="s">
        <v>1370</v>
      </c>
      <c r="M60" s="2319"/>
      <c r="N60" s="2320" t="str">
        <f ca="1">NUMBERSTRING(INT(N59*10000),2)&amp;"元整"</f>
        <v>壹佰伍拾壹万元整</v>
      </c>
      <c r="O60" s="2321"/>
    </row>
    <row r="61" spans="1:35" ht="13.8" thickBot="1">
      <c r="A61" s="3277" t="s">
        <v>1373</v>
      </c>
      <c r="B61" s="3277"/>
      <c r="C61" s="3277"/>
      <c r="D61" s="3277"/>
      <c r="E61" s="3277"/>
      <c r="F61" s="1670"/>
      <c r="G61" s="1670"/>
      <c r="H61" s="151"/>
      <c r="I61" s="121"/>
      <c r="J61" s="2308">
        <f>J59+1</f>
        <v>7</v>
      </c>
      <c r="K61" s="3329" t="s">
        <v>1374</v>
      </c>
      <c r="L61" s="3329"/>
      <c r="M61" s="2325"/>
      <c r="N61" s="2326">
        <f ca="1">ROUND(N59*10000/'数据-汇总表'!E3,0)</f>
        <v>10002</v>
      </c>
      <c r="O61" s="2327"/>
    </row>
    <row r="62" spans="1:35" ht="13.2">
      <c r="A62" s="3295" t="s">
        <v>1375</v>
      </c>
      <c r="B62" s="3296"/>
      <c r="C62" s="1865"/>
      <c r="D62" s="1865" t="s">
        <v>1376</v>
      </c>
      <c r="E62" s="158" t="s">
        <v>1377</v>
      </c>
      <c r="F62" s="1670"/>
      <c r="G62" s="1670"/>
      <c r="H62" s="151"/>
      <c r="I62" s="121"/>
    </row>
    <row r="63" spans="1:35" ht="13.2">
      <c r="A63" s="165" t="s">
        <v>330</v>
      </c>
      <c r="B63" s="159" t="s">
        <v>1378</v>
      </c>
      <c r="C63" s="2348">
        <f ca="1">ROUND((C64+C65)/(1+'数据-取费表'!C42),0)</f>
        <v>337</v>
      </c>
      <c r="D63" s="159"/>
      <c r="E63" s="160"/>
      <c r="F63" s="1670"/>
      <c r="G63" s="1670"/>
      <c r="H63" s="151"/>
      <c r="I63" s="121"/>
      <c r="J63" s="3354" t="s">
        <v>1379</v>
      </c>
      <c r="K63" s="1245" t="s">
        <v>1380</v>
      </c>
      <c r="L63" s="1245">
        <f ca="1">IF(M49&gt;10000,M49*0.5%,IF(AND(M49&gt;1000,M49&lt;=10000),M49*1%,IF(AND(M49&gt;100,M49&lt;=1000),M49*3%,IF(AND(M49&gt;10,M49&lt;=100),M49*5%,M49*8%))))</f>
        <v>10.62</v>
      </c>
      <c r="M63" s="294">
        <f ca="1">ROUND(L63,1)</f>
        <v>10.6</v>
      </c>
      <c r="N63" s="2328"/>
      <c r="Z63" s="1623"/>
      <c r="AI63" s="1561"/>
    </row>
    <row r="64" spans="1:35" ht="14.25" customHeight="1">
      <c r="A64" s="161" t="s">
        <v>325</v>
      </c>
      <c r="B64" s="162" t="s">
        <v>1381</v>
      </c>
      <c r="C64" s="2349">
        <f ca="1">D45</f>
        <v>354</v>
      </c>
      <c r="D64" s="162" t="s">
        <v>26</v>
      </c>
      <c r="E64" s="164"/>
      <c r="F64" s="1670"/>
      <c r="G64" s="1670"/>
      <c r="H64" s="151"/>
      <c r="I64" s="121"/>
      <c r="J64" s="3354"/>
      <c r="K64" s="1245" t="s">
        <v>1382</v>
      </c>
      <c r="L64" s="1245">
        <f ca="1">IF(M49&gt;2000,M49*0.5%,IF(AND(M49&gt;1000,M49&lt;=2000),M49*0.6%,IF(AND(M49&gt;500,M49&lt;=1000),M49*0.7%,IF(AND(M49&gt;200,M49&lt;=500),M49*0.8%,IF(AND(M49&gt;100,M49&lt;=200),M49*0.9%,IF(AND(M49&gt;50,M49&lt;=100),M49*1%,IF(AND(M49&gt;20,M49&lt;=50),M49*1.5%,IF(AND(M49&gt;10,M49&lt;=20),M49*2%,IF(AND(M49&gt;1,M49&lt;=10),M49*2.5%)))))))))</f>
        <v>2.8319999999999999</v>
      </c>
      <c r="M64" s="294">
        <f t="shared" ref="M64:M65" ca="1" si="1">ROUND(L64,1)</f>
        <v>2.8</v>
      </c>
      <c r="N64" s="2329" t="s">
        <v>1383</v>
      </c>
      <c r="Z64" s="1623"/>
      <c r="AI64" s="1561"/>
    </row>
    <row r="65" spans="1:35" ht="14.25" customHeight="1">
      <c r="A65" s="161" t="s">
        <v>326</v>
      </c>
      <c r="B65" s="162" t="s">
        <v>1384</v>
      </c>
      <c r="C65" s="2350"/>
      <c r="D65" s="162"/>
      <c r="E65" s="164"/>
      <c r="F65" s="1670"/>
      <c r="G65" s="1670"/>
      <c r="H65" s="151"/>
      <c r="I65" s="121"/>
      <c r="J65" s="3354"/>
      <c r="K65" s="1245" t="s">
        <v>1385</v>
      </c>
      <c r="L65" s="1245">
        <f ca="1">IF(M49&gt;1000,M49*0.1%,IF(AND(M49&gt;500,M49&lt;=1000),M49*0.5%,IF(AND(M49&gt;50,M49&lt;=500),M49*1%,IF(AND(M49&gt;1,M49&lt;=50),M49*1.5%))))</f>
        <v>3.54</v>
      </c>
      <c r="M65" s="294">
        <f t="shared" ca="1" si="1"/>
        <v>3.5</v>
      </c>
      <c r="N65" s="2329" t="s">
        <v>1383</v>
      </c>
      <c r="Z65" s="1623"/>
      <c r="AI65" s="1561"/>
    </row>
    <row r="66" spans="1:35" ht="14.25" customHeight="1">
      <c r="A66" s="165" t="s">
        <v>327</v>
      </c>
      <c r="B66" s="166" t="s">
        <v>1386</v>
      </c>
      <c r="C66" s="2351"/>
      <c r="D66" s="166" t="s">
        <v>26</v>
      </c>
      <c r="E66" s="1251" t="s">
        <v>671</v>
      </c>
      <c r="F66" s="1670"/>
      <c r="G66" s="1670"/>
      <c r="H66" s="151"/>
      <c r="I66" s="121"/>
      <c r="J66" s="3354"/>
      <c r="K66" s="1245" t="s">
        <v>1387</v>
      </c>
      <c r="L66" s="1245">
        <f ca="1">M49*0.5%</f>
        <v>1.77</v>
      </c>
      <c r="M66" s="294">
        <f ca="1">IF(L66&gt;0.5,0.5,ROUND(L66,0))</f>
        <v>0.5</v>
      </c>
      <c r="N66" s="2329" t="s">
        <v>1388</v>
      </c>
      <c r="Z66" s="1623"/>
      <c r="AI66" s="1561"/>
    </row>
    <row r="67" spans="1:35" ht="14.25" customHeight="1">
      <c r="A67" s="165" t="s">
        <v>328</v>
      </c>
      <c r="B67" s="166" t="s">
        <v>1389</v>
      </c>
      <c r="C67" s="2352">
        <f ca="1">C63-C66</f>
        <v>337</v>
      </c>
      <c r="D67" s="162" t="s">
        <v>26</v>
      </c>
      <c r="E67" s="164"/>
      <c r="F67" s="1670"/>
      <c r="G67" s="1670"/>
      <c r="H67" s="151"/>
      <c r="I67" s="121"/>
      <c r="J67" s="3354"/>
      <c r="K67" s="1245" t="s">
        <v>1390</v>
      </c>
      <c r="L67" s="1245">
        <f ca="1">IF(M49&gt;=10000,(8.25+(M49-10000)*0.01%),IF(AND(M49&gt;=8000,M49&lt;10000),(7.85+(M49-8000)*0.02%),IF(AND(M49&gt;=5000,M49&lt;8000),(6.65+(M49-5000)*0.04%),IF(AND(M49&gt;=2000,M49&lt;5000),(4.25+(PM49-2000)*0.08%),IF(AND(M49&gt;=1000,M49&lt;2000),(2.75+(M49-1000)*0.15%),IF(AND(M49&gt;=100,M49&lt;1000),(0.5+(M49-100)*0.25%),IF(AND(M49&gt;0,M49&lt;100),M49*0.5%)))))))</f>
        <v>1.135</v>
      </c>
      <c r="M67" s="294">
        <f ca="1">ROUND(L67*0.9,1)</f>
        <v>1</v>
      </c>
      <c r="N67" s="2328"/>
      <c r="Z67" s="1623"/>
      <c r="AI67" s="1561"/>
    </row>
    <row r="68" spans="1:35" ht="14.25" customHeight="1" thickBot="1">
      <c r="A68" s="168" t="s">
        <v>329</v>
      </c>
      <c r="B68" s="169" t="s">
        <v>1391</v>
      </c>
      <c r="C68" s="2353">
        <f ca="1">IF(C67&lt;=0,0,ROUND(C67*D68,0))</f>
        <v>19</v>
      </c>
      <c r="D68" s="2354">
        <f>'数据-取费表'!B41</f>
        <v>5.6000000000000001E-2</v>
      </c>
      <c r="E68" s="170"/>
      <c r="F68" s="1670"/>
      <c r="G68" s="1670"/>
      <c r="H68" s="151"/>
      <c r="I68" s="121"/>
      <c r="J68" s="3354"/>
      <c r="K68" s="1245" t="s">
        <v>1392</v>
      </c>
      <c r="L68" s="1245">
        <f ca="1">IF(M49&gt;10000,M49*0.5%,IF(AND(M49&gt;5000,M49&lt;=10000),M49*1%,IF(AND(M49&gt;1000,M49&lt;=5000),M49*2%,IF(AND(M49&gt;200,M49&lt;=1000),M49*3%,M49*5%))))</f>
        <v>10.62</v>
      </c>
      <c r="M68" s="294">
        <f ca="1">ROUND(L68,1)</f>
        <v>10.6</v>
      </c>
      <c r="N68" s="2328"/>
      <c r="Z68" s="1623"/>
      <c r="AI68" s="1561"/>
    </row>
    <row r="69" spans="1:35" ht="16.5" customHeight="1">
      <c r="A69" s="1672"/>
      <c r="B69" s="1673"/>
      <c r="C69" s="1674"/>
      <c r="D69" s="1675"/>
      <c r="E69" s="1676"/>
      <c r="F69" s="1466"/>
      <c r="G69" s="1466"/>
      <c r="H69" s="1467"/>
      <c r="I69" s="646"/>
      <c r="J69" s="3354"/>
      <c r="K69" s="1245" t="s">
        <v>1393</v>
      </c>
      <c r="L69" s="1245"/>
      <c r="M69" s="294">
        <f ca="1">ROUND(SUM(M63:M68),0)</f>
        <v>29</v>
      </c>
      <c r="N69" s="2330">
        <f ca="1">M69/M49</f>
        <v>8.1920903954802254E-2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337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v>
      </c>
      <c r="D78" s="2361">
        <f>'数据-取费表'!B43</f>
        <v>6.000000000000001E-3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335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200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337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56" t="s">
        <v>2129</v>
      </c>
      <c r="H90" s="3357"/>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4" t="s">
        <v>1422</v>
      </c>
      <c r="F92" s="3275"/>
      <c r="G92" s="3275"/>
      <c r="H92" s="3284"/>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v>
      </c>
      <c r="D93" s="2361">
        <f>'数据-取费表'!B43</f>
        <v>6.000000000000001E-3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335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200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69" t="str">
        <f>C4</f>
        <v>比较法-商业</v>
      </c>
      <c r="D101" s="2370" t="str">
        <f>D4</f>
        <v>收益法 (元)</v>
      </c>
      <c r="E101" s="3351" t="s">
        <v>1431</v>
      </c>
      <c r="F101" s="3308"/>
      <c r="G101" s="1687" t="s">
        <v>1432</v>
      </c>
      <c r="H101" s="2379">
        <f ca="1">H118</f>
        <v>354</v>
      </c>
      <c r="I101" s="121"/>
    </row>
    <row r="102" spans="1:35" ht="18.75" customHeight="1">
      <c r="A102" s="3310" t="s">
        <v>1433</v>
      </c>
      <c r="B102" s="2368" t="s">
        <v>1432</v>
      </c>
      <c r="C102" s="2369">
        <f ca="1">IF(D32="楼面单价",ROUND(C19,0),C19)</f>
        <v>470</v>
      </c>
      <c r="D102" s="2370">
        <f ca="1">IF(D32="楼面单价",ROUND(D19,0),D19)</f>
        <v>180</v>
      </c>
      <c r="E102" s="3351"/>
      <c r="F102" s="3308"/>
      <c r="G102" s="1687" t="s">
        <v>1434</v>
      </c>
      <c r="H102" s="2339">
        <f ca="1">I118</f>
        <v>23471</v>
      </c>
      <c r="I102" s="121"/>
    </row>
    <row r="103" spans="1:35" ht="42.75" customHeight="1">
      <c r="A103" s="3310"/>
      <c r="B103" s="2368" t="s">
        <v>1434</v>
      </c>
      <c r="C103" s="2371">
        <f ca="1">C20</f>
        <v>31157</v>
      </c>
      <c r="D103" s="2372">
        <f ca="1">D20</f>
        <v>11941</v>
      </c>
      <c r="E103" s="3345" t="s">
        <v>1435</v>
      </c>
      <c r="F103" s="3346"/>
      <c r="G103" s="1688" t="s">
        <v>1436</v>
      </c>
      <c r="H103" s="2379">
        <f>IF(D36="正常操作",H104+H105+H106,H105+H106)</f>
        <v>0</v>
      </c>
      <c r="I103" s="121"/>
    </row>
    <row r="104" spans="1:35" ht="18.75" customHeight="1">
      <c r="A104" s="3310" t="s">
        <v>1437</v>
      </c>
      <c r="B104" s="2373" t="s">
        <v>1432</v>
      </c>
      <c r="C104" s="2374">
        <f ca="1">H118</f>
        <v>354</v>
      </c>
      <c r="D104" s="2375"/>
      <c r="E104" s="1555" t="s">
        <v>1438</v>
      </c>
      <c r="F104" s="1548"/>
      <c r="G104" s="1688" t="s">
        <v>1436</v>
      </c>
      <c r="H104" s="2380">
        <f>IF(D36="同一抵押权人同一抵押物续贷",C36&amp;"（续贷，未扣减，详见特别提示）",C36)</f>
        <v>0</v>
      </c>
      <c r="I104" s="121"/>
    </row>
    <row r="105" spans="1:35" ht="18.75" customHeight="1" thickBot="1">
      <c r="A105" s="3311"/>
      <c r="B105" s="2376" t="s">
        <v>1434</v>
      </c>
      <c r="C105" s="2377">
        <f ca="1">I118</f>
        <v>23471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308"/>
      <c r="G107" s="1687" t="s">
        <v>1432</v>
      </c>
      <c r="H107" s="2379">
        <f ca="1">IF(E107="——","——",H101-H103)</f>
        <v>354</v>
      </c>
      <c r="I107" s="121"/>
    </row>
    <row r="108" spans="1:35" ht="18.75" customHeight="1">
      <c r="A108" s="121"/>
      <c r="B108" s="121"/>
      <c r="C108" s="121"/>
      <c r="D108" s="121"/>
      <c r="E108" s="3307"/>
      <c r="F108" s="3308"/>
      <c r="G108" s="1687" t="s">
        <v>1434</v>
      </c>
      <c r="H108" s="2339">
        <f ca="1">IF(H107=H101,H102,ROUND(H107*10000/'数据-汇总表'!E3,0))</f>
        <v>23471</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2" t="str">
        <f>IF(E109="——","——",H101-H105-H106)</f>
        <v>——</v>
      </c>
      <c r="I109" s="121"/>
    </row>
    <row r="110" spans="1:35" ht="18.75" customHeight="1">
      <c r="A110" s="121"/>
      <c r="B110" s="121"/>
      <c r="C110" s="121"/>
      <c r="D110" s="121"/>
      <c r="E110" s="3307"/>
      <c r="F110" s="3308"/>
      <c r="G110" s="1687" t="s">
        <v>1434</v>
      </c>
      <c r="H110" s="2339"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79" t="str">
        <f>IF(E111="——","——",N59)</f>
        <v>——</v>
      </c>
      <c r="I111" s="121"/>
    </row>
    <row r="112" spans="1:35" ht="18.75" customHeight="1" thickBot="1">
      <c r="A112" s="121"/>
      <c r="B112" s="121"/>
      <c r="C112" s="121"/>
      <c r="D112" s="121"/>
      <c r="E112" s="3340"/>
      <c r="F112" s="3341"/>
      <c r="G112" s="1690" t="s">
        <v>1434</v>
      </c>
      <c r="H112" s="2383"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9" t="s">
        <v>1449</v>
      </c>
      <c r="E117" s="2149" t="s">
        <v>1450</v>
      </c>
      <c r="F117" s="2149" t="s">
        <v>1449</v>
      </c>
      <c r="G117" s="2149" t="s">
        <v>1451</v>
      </c>
      <c r="H117" s="2149" t="s">
        <v>1449</v>
      </c>
      <c r="I117" s="2149" t="s">
        <v>1451</v>
      </c>
    </row>
    <row r="118" spans="1:27" ht="24.75" customHeight="1">
      <c r="A118" s="2384" t="str">
        <f>项目基本情况!S2</f>
        <v>北京市通州区半壁店大街4-4号1至2层全部房地产</v>
      </c>
      <c r="B118" s="2149">
        <f>M18</f>
        <v>150.97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354</v>
      </c>
      <c r="I118" s="2149">
        <f ca="1">ROUND(IF(D32="楼面单价",C32,H118*10000/B118),0)</f>
        <v>23471</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叁佰伍拾肆万元整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354</v>
      </c>
      <c r="E122" s="3343"/>
      <c r="F122" s="3343"/>
      <c r="G122" s="3343"/>
      <c r="H122" s="3343"/>
      <c r="I122" s="3344"/>
      <c r="AA122" s="684"/>
    </row>
    <row r="123" spans="1:27" ht="18.75" customHeight="1">
      <c r="A123" s="3278" t="s">
        <v>1452</v>
      </c>
      <c r="B123" s="3278"/>
      <c r="C123" s="3278"/>
      <c r="D123" s="3318" t="str">
        <f ca="1">NUMBERSTRING(INT(D122*10000),2)&amp;"元整"</f>
        <v>叁佰伍拾肆万元整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3312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150.97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150.97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150.97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2.9999999999999997E-4</v>
      </c>
      <c r="D44" s="230"/>
      <c r="E44" s="230"/>
      <c r="F44" s="231"/>
      <c r="G44" s="3360"/>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74</v>
      </c>
      <c r="D49" s="224"/>
      <c r="E49" s="224"/>
      <c r="F49" s="256"/>
      <c r="G49" s="226" t="s">
        <v>1554</v>
      </c>
    </row>
    <row r="50" spans="1:7" s="250" customFormat="1" ht="24">
      <c r="A50" s="247" t="s">
        <v>1555</v>
      </c>
      <c r="B50" s="202" t="s">
        <v>1556</v>
      </c>
      <c r="C50" s="224"/>
      <c r="D50" s="224"/>
      <c r="E50" s="224"/>
      <c r="F50" s="256">
        <f>IF('数据-取费表'!B24=0,'数据-取费表'!N16,1)</f>
        <v>0.63</v>
      </c>
      <c r="G50" s="239" t="s">
        <v>1557</v>
      </c>
    </row>
    <row r="51" spans="1:7" ht="16.5" customHeight="1">
      <c r="A51" s="247" t="s">
        <v>1558</v>
      </c>
      <c r="B51" s="202" t="s">
        <v>1559</v>
      </c>
      <c r="C51" s="224">
        <f ca="1">ROUND(C49*F50,0)</f>
        <v>47</v>
      </c>
      <c r="D51" s="224"/>
      <c r="E51" s="224"/>
      <c r="F51" s="256"/>
      <c r="G51" s="226" t="s">
        <v>1560</v>
      </c>
    </row>
    <row r="52" spans="1:7" s="200" customFormat="1" ht="16.8" thickBot="1">
      <c r="A52" s="257" t="s">
        <v>1561</v>
      </c>
      <c r="B52" s="258"/>
      <c r="C52" s="259">
        <f ca="1">C31+C51</f>
        <v>50</v>
      </c>
      <c r="D52" s="258"/>
      <c r="E52" s="258"/>
      <c r="F52" s="258"/>
      <c r="G52" s="260"/>
    </row>
    <row r="55" spans="1:7" ht="15">
      <c r="B55" s="262" t="s">
        <v>1562</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北京市通州区半壁店大街4-4号1至2层全部房地产抵押价值预评估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60" zoomScaleNormal="70" workbookViewId="0">
      <selection activeCell="I30" sqref="I3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3" width="18.33203125" style="347" customWidth="1"/>
    <col min="14"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3497</v>
      </c>
      <c r="E1" s="3122" t="s">
        <v>3450</v>
      </c>
      <c r="F1" s="1735" t="s">
        <v>3451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470.37720000000002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31157</v>
      </c>
      <c r="C3" s="344" t="s">
        <v>1768</v>
      </c>
      <c r="D3" s="343">
        <f>IF(D1="",'数据-汇总表'!E3,SUMIF('数据-汇总表'!$C19:$C33,D1,'数据-汇总表'!$E19:$E33))</f>
        <v>150.97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2" t="s">
        <v>1773</v>
      </c>
      <c r="W4" s="3362"/>
      <c r="X4" s="1265"/>
      <c r="Y4" s="3389" t="s">
        <v>1775</v>
      </c>
      <c r="Z4" s="3390"/>
      <c r="AA4" s="3376" t="s">
        <v>1771</v>
      </c>
      <c r="AB4" s="3362" t="s">
        <v>1772</v>
      </c>
      <c r="AC4" s="3376" t="s">
        <v>1773</v>
      </c>
    </row>
    <row r="5" spans="1:29">
      <c r="A5" s="348"/>
      <c r="B5" s="349"/>
      <c r="C5" s="3402" t="s">
        <v>1673</v>
      </c>
      <c r="D5" s="3398"/>
      <c r="E5" s="3405" t="s">
        <v>3471</v>
      </c>
      <c r="F5" s="3406"/>
      <c r="G5" s="3397" t="s">
        <v>3471</v>
      </c>
      <c r="H5" s="3398"/>
      <c r="I5" s="3397" t="s">
        <v>3472</v>
      </c>
      <c r="J5" s="3398"/>
      <c r="K5" s="537"/>
      <c r="L5" s="2484"/>
      <c r="M5" s="2485"/>
      <c r="N5" s="2485"/>
      <c r="O5" s="2485"/>
      <c r="P5" s="3385"/>
      <c r="Q5" s="3386"/>
      <c r="R5" s="3391"/>
      <c r="S5" s="3392"/>
      <c r="T5" s="3391"/>
      <c r="U5" s="3392"/>
      <c r="V5" s="3362"/>
      <c r="W5" s="3362"/>
      <c r="X5" s="1265"/>
      <c r="Y5" s="3391"/>
      <c r="Z5" s="3392"/>
      <c r="AA5" s="3377"/>
      <c r="AB5" s="3362"/>
      <c r="AC5" s="3377"/>
    </row>
    <row r="6" spans="1:29" ht="15" thickBot="1">
      <c r="A6" s="350"/>
      <c r="B6" s="351"/>
      <c r="C6" s="3395" t="s">
        <v>1677</v>
      </c>
      <c r="D6" s="3396"/>
      <c r="E6" s="3403" t="s">
        <v>1677</v>
      </c>
      <c r="F6" s="3404"/>
      <c r="G6" s="3395" t="s">
        <v>1677</v>
      </c>
      <c r="H6" s="3396"/>
      <c r="I6" s="3395" t="s">
        <v>1677</v>
      </c>
      <c r="J6" s="3396"/>
      <c r="K6" s="537" t="s">
        <v>1678</v>
      </c>
      <c r="L6" s="2484"/>
      <c r="M6" s="2485"/>
      <c r="N6" s="2485"/>
      <c r="O6" s="2485"/>
      <c r="P6" s="3387"/>
      <c r="Q6" s="3388"/>
      <c r="R6" s="3391"/>
      <c r="S6" s="3392"/>
      <c r="T6" s="3393"/>
      <c r="U6" s="3394"/>
      <c r="V6" s="3362"/>
      <c r="W6" s="3362"/>
      <c r="X6" s="1265"/>
      <c r="Y6" s="3393"/>
      <c r="Z6" s="3394"/>
      <c r="AA6" s="3378"/>
      <c r="AB6" s="3362"/>
      <c r="AC6" s="3378"/>
    </row>
    <row r="7" spans="1:29" s="102" customFormat="1" ht="15" thickBot="1">
      <c r="A7" s="352" t="s">
        <v>1679</v>
      </c>
      <c r="B7" s="353"/>
      <c r="C7" s="354">
        <f>'数据-取费表'!B2</f>
        <v>45839</v>
      </c>
      <c r="D7" s="355">
        <v>100</v>
      </c>
      <c r="E7" s="356">
        <f>C7</f>
        <v>45839</v>
      </c>
      <c r="F7" s="357">
        <f>SUMIF(58:58,YEAR(E7)&amp;"-"&amp;MONTH(E7),59:59)</f>
        <v>100</v>
      </c>
      <c r="G7" s="356">
        <f>C7</f>
        <v>45839</v>
      </c>
      <c r="H7" s="355">
        <f>SUMIF(58:58,YEAR(G7)&amp;"-"&amp;MONTH(G7),59:59)</f>
        <v>100</v>
      </c>
      <c r="I7" s="356">
        <f>C7</f>
        <v>45839</v>
      </c>
      <c r="J7" s="355">
        <f>SUMIF(58:58,YEAR(I7)&amp;"-"&amp;MONTH(I7),59:59)</f>
        <v>100</v>
      </c>
      <c r="K7" s="38"/>
      <c r="L7" s="2486"/>
      <c r="M7" s="2438"/>
      <c r="N7" s="2438"/>
      <c r="O7" s="2438"/>
      <c r="P7" s="3399" t="s">
        <v>1680</v>
      </c>
      <c r="Q7" s="3401"/>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50">
        <f>D7/J7</f>
        <v>1</v>
      </c>
    </row>
    <row r="8" spans="1:29" s="102" customFormat="1" ht="15" thickBot="1">
      <c r="A8" s="352" t="s">
        <v>1681</v>
      </c>
      <c r="B8" s="353"/>
      <c r="C8" s="358" t="s">
        <v>3458</v>
      </c>
      <c r="D8" s="355">
        <v>100</v>
      </c>
      <c r="E8" s="358" t="s">
        <v>3476</v>
      </c>
      <c r="F8" s="357">
        <f>SUMIF(61:61,E8,62:62)-SUMIF(61:61,C8,62:62)+100</f>
        <v>102</v>
      </c>
      <c r="G8" s="358" t="s">
        <v>3476</v>
      </c>
      <c r="H8" s="355">
        <f>SUMIF(61:61,G8,62:62)-SUMIF(61:61,C8,62:62)+100</f>
        <v>102</v>
      </c>
      <c r="I8" s="358" t="s">
        <v>3476</v>
      </c>
      <c r="J8" s="355">
        <f>SUMIF(61:61,I8,62:62)-SUMIF(61:61,C8,62:62)+100</f>
        <v>102</v>
      </c>
      <c r="K8" s="38"/>
      <c r="L8" s="2486"/>
      <c r="M8" s="2438"/>
      <c r="N8" s="2438"/>
      <c r="O8" s="2438"/>
      <c r="P8" s="3399" t="s">
        <v>1683</v>
      </c>
      <c r="Q8" s="3400"/>
      <c r="R8" s="664" t="s">
        <v>14</v>
      </c>
      <c r="S8" s="665">
        <f t="shared" si="0"/>
        <v>102</v>
      </c>
      <c r="T8" s="664" t="s">
        <v>14</v>
      </c>
      <c r="U8" s="665">
        <f t="shared" si="1"/>
        <v>102</v>
      </c>
      <c r="V8" s="664" t="s">
        <v>14</v>
      </c>
      <c r="W8" s="665">
        <f t="shared" si="2"/>
        <v>102</v>
      </c>
      <c r="X8" s="666"/>
      <c r="Y8" s="3399" t="s">
        <v>1683</v>
      </c>
      <c r="Z8" s="3400"/>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68" t="s">
        <v>3459</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57">
      <c r="A10" s="363"/>
      <c r="B10" s="364" t="s">
        <v>1688</v>
      </c>
      <c r="C10" s="3130" t="s">
        <v>3493</v>
      </c>
      <c r="D10" s="119">
        <v>100</v>
      </c>
      <c r="E10" s="3130" t="s">
        <v>3493</v>
      </c>
      <c r="F10" s="364">
        <f>SUMIF(65:65,E10,66:66)-SUMIF(65:65,C10,66:66)+100</f>
        <v>100</v>
      </c>
      <c r="G10" s="3130" t="s">
        <v>3493</v>
      </c>
      <c r="H10" s="119">
        <f>SUMIF(65:65,G10,66:66)-SUMIF(65:65,C10,66:66)+100</f>
        <v>100</v>
      </c>
      <c r="I10" s="3130" t="s">
        <v>3493</v>
      </c>
      <c r="J10" s="119">
        <f>SUMIF(65:65,I10,66:66)-SUMIF(65:65,C10,66:66)+100</f>
        <v>100</v>
      </c>
      <c r="K10" s="38"/>
      <c r="L10" s="3174" t="s">
        <v>3492</v>
      </c>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75"/>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v>2004</v>
      </c>
      <c r="J12" s="119">
        <f>SUMIF(70:70,I12,71:71)-SUMIF(70:70,C12,71:71)+100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f>I12-2+40-2025</f>
        <v>17</v>
      </c>
      <c r="J13" s="374">
        <f>SUMIF(72:72,I13,73:73)-SUMIF(72:72,C13,73:73)+100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f>ROUND(1-(1-2%)*(2025-I12)/50,2)</f>
        <v>0.59</v>
      </c>
      <c r="J14" s="377">
        <f>SUMIF(74:74,I14,75:75)-SUMIF(74:74,C14,75:75)+100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66"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t="s">
        <v>3455</v>
      </c>
      <c r="D16" s="387"/>
      <c r="E16" s="386" t="s">
        <v>3455</v>
      </c>
      <c r="F16" s="388"/>
      <c r="G16" s="386" t="s">
        <v>3455</v>
      </c>
      <c r="H16" s="389"/>
      <c r="I16" s="386" t="s">
        <v>3455</v>
      </c>
      <c r="J16" s="387"/>
      <c r="K16" s="541"/>
      <c r="L16" s="2490"/>
      <c r="M16" s="2485"/>
      <c r="N16" s="2485"/>
      <c r="O16" s="2485"/>
      <c r="P16" s="3367"/>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67"/>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t="s">
        <v>3452</v>
      </c>
      <c r="D18" s="389"/>
      <c r="E18" s="1755" t="s">
        <v>3452</v>
      </c>
      <c r="F18" s="392"/>
      <c r="G18" s="1755" t="s">
        <v>3452</v>
      </c>
      <c r="H18" s="387"/>
      <c r="I18" s="1755" t="s">
        <v>3452</v>
      </c>
      <c r="J18" s="387"/>
      <c r="K18" s="541"/>
      <c r="L18" s="2490"/>
      <c r="M18" s="2485"/>
      <c r="N18" s="2485"/>
      <c r="O18" s="2485"/>
      <c r="P18" s="3367"/>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67"/>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t="s">
        <v>3452</v>
      </c>
      <c r="D20" s="387"/>
      <c r="E20" s="386" t="s">
        <v>3452</v>
      </c>
      <c r="F20" s="388"/>
      <c r="G20" s="386" t="s">
        <v>3452</v>
      </c>
      <c r="H20" s="387"/>
      <c r="I20" s="386" t="s">
        <v>3452</v>
      </c>
      <c r="J20" s="387"/>
      <c r="K20" s="541"/>
      <c r="L20" s="2490"/>
      <c r="M20" s="2485"/>
      <c r="N20" s="2485"/>
      <c r="O20" s="2485"/>
      <c r="P20" s="3367"/>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67"/>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t="s">
        <v>3486</v>
      </c>
      <c r="D22" s="387"/>
      <c r="E22" s="1755" t="s">
        <v>3486</v>
      </c>
      <c r="F22" s="388"/>
      <c r="G22" s="1755" t="s">
        <v>3486</v>
      </c>
      <c r="H22" s="387"/>
      <c r="I22" s="1755" t="s">
        <v>3486</v>
      </c>
      <c r="J22" s="387"/>
      <c r="K22" s="1064"/>
      <c r="L22" s="2490"/>
      <c r="M22" s="2485"/>
      <c r="N22" s="2485"/>
      <c r="O22" s="2485"/>
      <c r="P22" s="3367"/>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67"/>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t="s">
        <v>3455</v>
      </c>
      <c r="D24" s="387"/>
      <c r="E24" s="386" t="s">
        <v>3455</v>
      </c>
      <c r="F24" s="388"/>
      <c r="G24" s="386" t="s">
        <v>3455</v>
      </c>
      <c r="H24" s="387"/>
      <c r="I24" s="386" t="s">
        <v>3455</v>
      </c>
      <c r="J24" s="387"/>
      <c r="K24" s="541"/>
      <c r="L24" s="2490"/>
      <c r="M24" s="2485"/>
      <c r="N24" s="2485"/>
      <c r="O24" s="2485"/>
      <c r="P24" s="3367"/>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7"/>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172" t="s">
        <v>3482</v>
      </c>
      <c r="D26" s="374">
        <v>100</v>
      </c>
      <c r="E26" s="3172" t="s">
        <v>3482</v>
      </c>
      <c r="F26" s="400">
        <f>SUMIF(88:88,E26,89:89)-SUMIF(88:88,C26,89:89)+100</f>
        <v>100</v>
      </c>
      <c r="G26" s="3172" t="s">
        <v>3482</v>
      </c>
      <c r="H26" s="374">
        <f>SUMIF(88:88,G26,89:89)-SUMIF(88:88,C26,89:89)+100</f>
        <v>100</v>
      </c>
      <c r="I26" s="3172" t="s">
        <v>3482</v>
      </c>
      <c r="J26" s="374">
        <f>SUMIF(88:88,I26,89:89)-SUMIF(88:88,C26,89:89)+100</f>
        <v>100</v>
      </c>
      <c r="K26" s="539"/>
      <c r="L26" s="2490"/>
      <c r="M26" s="2485"/>
      <c r="N26" s="2485"/>
      <c r="O26" s="2485"/>
      <c r="P26" s="3367"/>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t="s">
        <v>3455</v>
      </c>
      <c r="D27" s="401">
        <v>100</v>
      </c>
      <c r="E27" s="1807" t="s">
        <v>3455</v>
      </c>
      <c r="F27" s="395">
        <f>SUMIF(90:90,E27,91:91)-SUMIF(90:90,C27,91:91)+100</f>
        <v>100</v>
      </c>
      <c r="G27" s="1807" t="s">
        <v>3455</v>
      </c>
      <c r="H27" s="401">
        <f>SUMIF(90:90,G27,91:91)-SUMIF(90:90,C27,91:91)+100</f>
        <v>100</v>
      </c>
      <c r="I27" s="1807" t="s">
        <v>3455</v>
      </c>
      <c r="J27" s="401">
        <f>SUMIF(90:90,I27,91:91)-SUMIF(90:90,C27,91:91)+100</f>
        <v>100</v>
      </c>
      <c r="K27" s="538"/>
      <c r="L27" s="2486"/>
      <c r="M27" s="2438"/>
      <c r="N27" s="2438"/>
      <c r="O27" s="2438"/>
      <c r="P27" s="3367"/>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27.6">
      <c r="A28" s="367"/>
      <c r="B28" s="364" t="s">
        <v>1783</v>
      </c>
      <c r="C28" s="542" t="s">
        <v>3506</v>
      </c>
      <c r="D28" s="374">
        <v>100</v>
      </c>
      <c r="E28" s="542" t="s">
        <v>3507</v>
      </c>
      <c r="F28" s="400">
        <f>SUMIF(92:92,E28,93:93)-SUMIF(92:92,C28,93:93)+100</f>
        <v>93</v>
      </c>
      <c r="G28" s="542" t="s">
        <v>3465</v>
      </c>
      <c r="H28" s="374">
        <f>SUMIF(92:92,G28,93:93)-SUMIF(92:92,C28,93:93)+100</f>
        <v>114</v>
      </c>
      <c r="I28" s="542" t="s">
        <v>3508</v>
      </c>
      <c r="J28" s="374">
        <f>SUMIF(92:92,I28,93:93)-SUMIF(92:92,C28,93:93)+100</f>
        <v>90</v>
      </c>
      <c r="K28" s="539"/>
      <c r="L28" s="2490"/>
      <c r="M28" s="2485"/>
      <c r="N28" s="2485"/>
      <c r="O28" s="2485"/>
      <c r="P28" s="3367"/>
      <c r="Q28" s="1263" t="str">
        <f t="shared" si="11"/>
        <v>楼层</v>
      </c>
      <c r="R28" s="667" t="s">
        <v>14</v>
      </c>
      <c r="S28" s="668">
        <f t="shared" ref="S28:S46" si="12">F28</f>
        <v>93</v>
      </c>
      <c r="T28" s="667" t="s">
        <v>14</v>
      </c>
      <c r="U28" s="668">
        <f t="shared" ref="U28:U46" si="13">H28</f>
        <v>114</v>
      </c>
      <c r="V28" s="667" t="s">
        <v>14</v>
      </c>
      <c r="W28" s="668">
        <f t="shared" ref="W28:W46" si="14">J28</f>
        <v>90</v>
      </c>
      <c r="X28" s="1265"/>
      <c r="Y28" s="3369"/>
      <c r="Z28" s="1264" t="str">
        <f t="shared" ref="Z28:Z46" si="15">Q28</f>
        <v>楼层</v>
      </c>
      <c r="AA28" s="1264">
        <f t="shared" si="3"/>
        <v>1.075268817204301</v>
      </c>
      <c r="AB28" s="1264">
        <f t="shared" si="4"/>
        <v>0.8771929824561403</v>
      </c>
      <c r="AC28" s="1264">
        <f t="shared" si="5"/>
        <v>1.1111111111111112</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7"/>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7"/>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7"/>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3173" t="s">
        <v>3490</v>
      </c>
      <c r="O32" s="3173" t="s">
        <v>3491</v>
      </c>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150.97</v>
      </c>
      <c r="D33" s="119">
        <v>100</v>
      </c>
      <c r="E33" s="369">
        <f>案例!R4</f>
        <v>179.49</v>
      </c>
      <c r="F33" s="364">
        <f>LOOKUP(E33,103:103,104:104)-LOOKUP(C33,103:103,104:104)+100</f>
        <v>100</v>
      </c>
      <c r="G33" s="368">
        <f>案例!R5</f>
        <v>117.69</v>
      </c>
      <c r="H33" s="119">
        <f>LOOKUP(G33,103:103,104:104)-LOOKUP(C33,103:103,104:104)+100</f>
        <v>100</v>
      </c>
      <c r="I33" s="368">
        <f>案例!R6</f>
        <v>285.95</v>
      </c>
      <c r="J33" s="119">
        <f>LOOKUP(I33,103:103,104:104)-LOOKUP(C33,103:103,104:104)+100</f>
        <v>99</v>
      </c>
      <c r="K33" s="539"/>
      <c r="L33" s="2489"/>
      <c r="M33" s="2491" t="s">
        <v>3487</v>
      </c>
      <c r="N33" s="2491">
        <v>100</v>
      </c>
      <c r="O33" s="2485">
        <f>ROUND(N33*$O$38/$N$38,0)</f>
        <v>114</v>
      </c>
      <c r="P33" s="3371"/>
      <c r="Q33" s="531" t="str">
        <f t="shared" si="11"/>
        <v>项目建筑规模</v>
      </c>
      <c r="R33" s="669" t="s">
        <v>14</v>
      </c>
      <c r="S33" s="670">
        <f t="shared" si="12"/>
        <v>100</v>
      </c>
      <c r="T33" s="669" t="s">
        <v>14</v>
      </c>
      <c r="U33" s="670">
        <f t="shared" si="13"/>
        <v>100</v>
      </c>
      <c r="V33" s="669" t="s">
        <v>14</v>
      </c>
      <c r="W33" s="670">
        <f t="shared" si="14"/>
        <v>99</v>
      </c>
      <c r="X33" s="671"/>
      <c r="Y33" s="3373"/>
      <c r="Z33" s="672" t="str">
        <f t="shared" si="15"/>
        <v>项目建筑规模</v>
      </c>
      <c r="AA33" s="1264">
        <f t="shared" si="3"/>
        <v>1</v>
      </c>
      <c r="AB33" s="1264">
        <f t="shared" si="4"/>
        <v>1</v>
      </c>
      <c r="AC33" s="1264">
        <f t="shared" si="5"/>
        <v>1.0101010101010102</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t="s">
        <v>3488</v>
      </c>
      <c r="N34" s="2485">
        <v>70</v>
      </c>
      <c r="O34" s="2485">
        <f>ROUND(N34*$O$38/$N$38,0)</f>
        <v>80</v>
      </c>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t="s">
        <v>3489</v>
      </c>
      <c r="N35" s="2485">
        <f>ROUND((N33+N34)/2,0)</f>
        <v>85</v>
      </c>
      <c r="O35" s="2485">
        <f>ROUND(N35*$O$38/$N$38,0)</f>
        <v>97</v>
      </c>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f>'数据-取费表'!N6</f>
        <v>0.63</v>
      </c>
      <c r="D36" s="374">
        <v>100</v>
      </c>
      <c r="E36" s="411">
        <f>C36</f>
        <v>0.63</v>
      </c>
      <c r="F36" s="400">
        <f>LOOKUP(E36,110:110,111:111)-LOOKUP(C36,110:110,111:111)+100</f>
        <v>100</v>
      </c>
      <c r="G36" s="411">
        <f>C36</f>
        <v>0.63</v>
      </c>
      <c r="H36" s="400">
        <f>LOOKUP(G36,110:110,111:111)-LOOKUP(C36,110:110,111:111)+100</f>
        <v>100</v>
      </c>
      <c r="I36" s="411">
        <v>0.6</v>
      </c>
      <c r="J36" s="374">
        <f>LOOKUP(I36,110:110,111:111)-LOOKUP(C36,110:110,111:111)+100</f>
        <v>100</v>
      </c>
      <c r="K36" s="538">
        <v>1</v>
      </c>
      <c r="L36" s="3515" t="s">
        <v>3505</v>
      </c>
      <c r="M36" s="2485" t="s">
        <v>3502</v>
      </c>
      <c r="N36" s="2485">
        <v>82</v>
      </c>
      <c r="O36" s="2485">
        <f>ROUND(N36*$O$38/$N$38,0)</f>
        <v>93</v>
      </c>
      <c r="P36" s="3371"/>
      <c r="Q36" s="1263" t="str">
        <f t="shared" si="11"/>
        <v>成新度</v>
      </c>
      <c r="R36" s="667" t="s">
        <v>14</v>
      </c>
      <c r="S36" s="668">
        <f t="shared" si="12"/>
        <v>100</v>
      </c>
      <c r="T36" s="667" t="s">
        <v>14</v>
      </c>
      <c r="U36" s="668">
        <f t="shared" si="13"/>
        <v>100</v>
      </c>
      <c r="V36" s="667" t="s">
        <v>14</v>
      </c>
      <c r="W36" s="668">
        <f t="shared" si="14"/>
        <v>100</v>
      </c>
      <c r="X36" s="1265"/>
      <c r="Y36" s="337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3514" t="s">
        <v>3504</v>
      </c>
      <c r="M37" s="2485" t="s">
        <v>3500</v>
      </c>
      <c r="N37" s="2485">
        <v>79</v>
      </c>
      <c r="O37" s="2485">
        <f>ROUND(N37*$O$38/$N$38,0)</f>
        <v>90</v>
      </c>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3513" t="s">
        <v>3503</v>
      </c>
      <c r="M38" s="2485" t="s">
        <v>3501</v>
      </c>
      <c r="N38" s="2438">
        <v>88</v>
      </c>
      <c r="O38" s="2438">
        <v>100</v>
      </c>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f>N33*0.3+N34*7</f>
        <v>520</v>
      </c>
      <c r="O41" s="2491"/>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1"/>
      <c r="Q44" s="530">
        <f t="shared" si="11"/>
        <v>0</v>
      </c>
      <c r="R44" s="664" t="s">
        <v>14</v>
      </c>
      <c r="S44" s="665">
        <f t="shared" si="12"/>
        <v>100</v>
      </c>
      <c r="T44" s="664" t="s">
        <v>14</v>
      </c>
      <c r="U44" s="665">
        <f t="shared" si="13"/>
        <v>100</v>
      </c>
      <c r="V44" s="664" t="s">
        <v>14</v>
      </c>
      <c r="W44" s="665">
        <f t="shared" si="14"/>
        <v>100</v>
      </c>
      <c r="X44" s="666"/>
      <c r="Y44" s="337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f>案例!T4</f>
        <v>30643</v>
      </c>
      <c r="F47" s="420"/>
      <c r="G47" s="421">
        <f>案例!T5</f>
        <v>33988</v>
      </c>
      <c r="H47" s="422"/>
      <c r="I47" s="419">
        <f>案例!T6</f>
        <v>29027</v>
      </c>
      <c r="J47" s="422"/>
      <c r="K47" s="674"/>
      <c r="L47" s="2492"/>
      <c r="M47" s="2485"/>
      <c r="N47" s="2485"/>
      <c r="O47" s="2485"/>
      <c r="P47" s="3361" t="str">
        <f>A47</f>
        <v>成交单价（元/平方米）</v>
      </c>
      <c r="Q47" s="3361"/>
      <c r="R47" s="3362">
        <f>E47</f>
        <v>30643</v>
      </c>
      <c r="S47" s="3362"/>
      <c r="T47" s="3362">
        <f>G47</f>
        <v>33988</v>
      </c>
      <c r="U47" s="3362"/>
      <c r="V47" s="3362">
        <f>I47</f>
        <v>29027</v>
      </c>
      <c r="W47" s="3362"/>
      <c r="X47" s="385"/>
      <c r="Y47" s="673"/>
      <c r="Z47" s="385"/>
      <c r="AA47" s="385"/>
      <c r="AB47" s="385"/>
      <c r="AC47" s="385"/>
    </row>
    <row r="48" spans="1:29" ht="15" thickBot="1">
      <c r="A48" s="423" t="s">
        <v>1793</v>
      </c>
      <c r="B48" s="424"/>
      <c r="C48" s="1082">
        <f>R49</f>
        <v>31157</v>
      </c>
      <c r="D48" s="2140" t="s">
        <v>2138</v>
      </c>
      <c r="E48" s="1083">
        <f>R48</f>
        <v>32303</v>
      </c>
      <c r="F48" s="2141"/>
      <c r="G48" s="1082">
        <f>T48</f>
        <v>29229</v>
      </c>
      <c r="H48" s="2141"/>
      <c r="I48" s="1083">
        <f>V48</f>
        <v>31939</v>
      </c>
      <c r="J48" s="2141"/>
      <c r="K48" s="2143">
        <f>F48+H48+J48</f>
        <v>0</v>
      </c>
      <c r="L48" s="2492"/>
      <c r="M48" s="2485"/>
      <c r="N48" s="2485"/>
      <c r="O48" s="2485"/>
      <c r="P48" s="3361" t="str">
        <f>A48</f>
        <v>比较价值（元/平方米）</v>
      </c>
      <c r="Q48" s="3361"/>
      <c r="R48" s="3362">
        <f>IF(F1="售价",ROUND(PRODUCT(R47,AA7:AA46),0),ROUND(PRODUCT(R47,AA7:AA46),1))</f>
        <v>32303</v>
      </c>
      <c r="S48" s="3362"/>
      <c r="T48" s="3362">
        <f>IF(F1="售价",ROUND(PRODUCT(T47,AB7:AB46),0),ROUND(PRODUCT(T47,AB7:AB46),1))</f>
        <v>29229</v>
      </c>
      <c r="U48" s="3362"/>
      <c r="V48" s="3362">
        <f>IF(F1="售价",ROUND(PRODUCT(V47,AC7:AC46),0),ROUND(PRODUCT(V47,AC7:AC46),1))</f>
        <v>31939</v>
      </c>
      <c r="W48" s="3362"/>
      <c r="X48" s="385"/>
      <c r="Y48" s="385"/>
      <c r="Z48" s="385"/>
      <c r="AA48" s="385"/>
      <c r="AB48" s="385"/>
      <c r="AC48" s="385"/>
    </row>
    <row r="49" spans="1:29" ht="15" thickBot="1">
      <c r="A49" s="427" t="s">
        <v>1794</v>
      </c>
      <c r="B49" s="428"/>
      <c r="C49" s="351">
        <f>R49</f>
        <v>31157</v>
      </c>
      <c r="D49" s="351"/>
      <c r="E49" s="351"/>
      <c r="F49" s="351"/>
      <c r="G49" s="351"/>
      <c r="H49" s="351"/>
      <c r="I49" s="351"/>
      <c r="J49" s="351"/>
      <c r="K49" s="675"/>
      <c r="L49" s="2492"/>
      <c r="M49" s="2485"/>
      <c r="N49" s="2485"/>
      <c r="O49" s="2485"/>
      <c r="P49" s="3363" t="str">
        <f>A49</f>
        <v>估价对象XX用房的比较价值（楼面单价，元/平方米）</v>
      </c>
      <c r="Q49" s="3364"/>
      <c r="R49" s="3365">
        <f>IF(F1="售价",ROUND(IF(D48="简单平均",AVERAGE(R48:V48),R48*F48+T48*H48+V48*J48),0),ROUND(IF(D48="简单平均",AVERAGE(R48:V48),R48*F48+T48*H48+V48*J48),1))</f>
        <v>31157</v>
      </c>
      <c r="S49" s="3365"/>
      <c r="T49" s="3365"/>
      <c r="U49" s="3365"/>
      <c r="V49" s="3365"/>
      <c r="W49" s="336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5.4172241621251116E-2</v>
      </c>
      <c r="F52" s="435" t="str">
        <f>IF(OR(E52&gt;=0.3,E52&lt;=-0.3),"超过30%","")</f>
        <v/>
      </c>
      <c r="G52" s="434">
        <f>IF(G47&lt;G48,G48/G47-1,G47/G48-1)</f>
        <v>0.16281774949536421</v>
      </c>
      <c r="H52" s="435" t="str">
        <f>IF(OR(G52&gt;=0.3,G52&lt;=-0.3),"超过30%","")</f>
        <v/>
      </c>
      <c r="I52" s="434">
        <f>IF(I47&lt;I48,I48/I47-1,I47/I48-1)</f>
        <v>0.10032039135976856</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0.10516952341852259</v>
      </c>
      <c r="F53" s="435" t="str">
        <f>IF(OR(E53&gt;=0.2,E53&lt;=-0.2),"超过20%","")</f>
        <v/>
      </c>
      <c r="G53" s="434">
        <f>IF(G48&lt;I48,I48/G48-1,G48/I48-1)</f>
        <v>9.2716138082041821E-2</v>
      </c>
      <c r="H53" s="435" t="str">
        <f>IF(OR(G53&gt;=0.2,G53&lt;=-0.2),"超过20%","")</f>
        <v/>
      </c>
      <c r="I53" s="434">
        <f>IF(I48&lt;E48,E48/I48-1,I48/E48-1)</f>
        <v>1.1396725007044584E-2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0.10916033025487071</v>
      </c>
      <c r="F54" s="435" t="str">
        <f>IF(OR(E54&gt;=0.3,E54&lt;=-0.3),"超过30%","")</f>
        <v/>
      </c>
      <c r="G54" s="434">
        <f>IF(G47&lt;I47,I47/G47-1,G47/I47-1)</f>
        <v>0.17090984256037478</v>
      </c>
      <c r="H54" s="435" t="str">
        <f>IF(OR(G54&gt;=0.3,G54&lt;=-0.3),"超过30%","")</f>
        <v/>
      </c>
      <c r="I54" s="434">
        <f>IF(I47&lt;E47,E47/I47-1,I47/E47-1)</f>
        <v>5.5672305095256114E-2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69" t="s">
        <v>3477</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3479</v>
      </c>
      <c r="D65" s="513" t="s">
        <v>3478</v>
      </c>
      <c r="E65" s="513" t="s">
        <v>3480</v>
      </c>
      <c r="F65" s="513" t="s">
        <v>3481</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0" t="s">
        <v>3482</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0" t="s">
        <v>3483</v>
      </c>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tr">
        <f>M38</f>
        <v>1-2层，1层面积60%</v>
      </c>
      <c r="D92" s="485" t="str">
        <f>M37</f>
        <v>1-2层，1层面积30%</v>
      </c>
      <c r="E92" s="485" t="str">
        <f>M36</f>
        <v>1-2层，1层面积40%</v>
      </c>
      <c r="F92" s="485" t="str">
        <f>M33</f>
        <v>1层</v>
      </c>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f>O38</f>
        <v>100</v>
      </c>
      <c r="D93" s="467">
        <f>O37</f>
        <v>90</v>
      </c>
      <c r="E93" s="467">
        <f>O36</f>
        <v>93</v>
      </c>
      <c r="F93" s="467">
        <f>O33</f>
        <v>114</v>
      </c>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1"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200</v>
      </c>
      <c r="G103" s="6">
        <v>300</v>
      </c>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G104" si="25">D104-1</f>
        <v>98</v>
      </c>
      <c r="F104" s="467">
        <f t="shared" si="25"/>
        <v>97</v>
      </c>
      <c r="G104" s="467">
        <f t="shared" si="25"/>
        <v>96</v>
      </c>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0</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-199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150.97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150.97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150.97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9" t="s">
        <v>694</v>
      </c>
      <c r="C6" s="1011">
        <f ca="1">ROUND(F6*F8*F7*(1-F9)/10000,0)</f>
        <v>0</v>
      </c>
      <c r="D6" s="147" t="s">
        <v>2109</v>
      </c>
      <c r="E6" s="294" t="s">
        <v>696</v>
      </c>
      <c r="F6" s="295">
        <f ca="1">INDIRECT("'数据-取费表'!u"&amp;$G$1)</f>
        <v>0</v>
      </c>
      <c r="G6" s="1292"/>
      <c r="H6" s="1006" t="s">
        <v>398</v>
      </c>
      <c r="I6" s="3409" t="s">
        <v>694</v>
      </c>
      <c r="J6" s="293">
        <f ca="1">ROUND(M6*M8*M7*(1-M9)/10000,0)</f>
        <v>0</v>
      </c>
      <c r="K6" s="147" t="s">
        <v>2108</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0</v>
      </c>
      <c r="G7" s="1292"/>
      <c r="H7" s="296"/>
      <c r="I7" s="3410"/>
      <c r="J7" s="298"/>
      <c r="K7" s="299"/>
      <c r="L7" s="294" t="s">
        <v>697</v>
      </c>
      <c r="M7" s="295">
        <f ca="1">F7</f>
        <v>0</v>
      </c>
    </row>
    <row r="8" spans="1:37" ht="18" customHeight="1">
      <c r="A8" s="296"/>
      <c r="B8" s="3410"/>
      <c r="C8" s="298"/>
      <c r="D8" s="299"/>
      <c r="E8" s="294" t="s">
        <v>698</v>
      </c>
      <c r="F8" s="295">
        <f ca="1">INDIRECT("'数据-取费表'!ai"&amp;$G$1)</f>
        <v>0</v>
      </c>
      <c r="G8" s="1292"/>
      <c r="H8" s="296"/>
      <c r="I8" s="3410"/>
      <c r="J8" s="298"/>
      <c r="K8" s="299"/>
      <c r="L8" s="294" t="s">
        <v>698</v>
      </c>
      <c r="M8" s="295">
        <f ca="1">INDIRECT("'数据-取费表'!ai"&amp;$G$1)</f>
        <v>0</v>
      </c>
    </row>
    <row r="9" spans="1:37" ht="18" customHeight="1">
      <c r="A9" s="296"/>
      <c r="B9" s="3411"/>
      <c r="C9" s="298"/>
      <c r="D9" s="299"/>
      <c r="E9" s="294" t="s">
        <v>699</v>
      </c>
      <c r="F9" s="304">
        <f ca="1">INDIRECT("'数据-取费表'!w"&amp;$G$1)</f>
        <v>0</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07" t="s">
        <v>837</v>
      </c>
      <c r="L53" s="340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I16" sqref="I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3497</v>
      </c>
      <c r="D1" s="1271" t="s">
        <v>43</v>
      </c>
      <c r="E1" s="1272" t="s">
        <v>678</v>
      </c>
      <c r="F1" s="999">
        <f ca="1">J53</f>
        <v>16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180.2724</v>
      </c>
      <c r="C2" s="1289" t="s">
        <v>879</v>
      </c>
      <c r="D2" s="1375">
        <f ca="1">C40+J29+L46</f>
        <v>1802724</v>
      </c>
      <c r="E2" s="1295" t="s">
        <v>880</v>
      </c>
      <c r="F2" s="1296"/>
      <c r="G2" s="2476"/>
      <c r="H2" s="2466"/>
      <c r="I2" s="2466"/>
      <c r="J2" s="2466"/>
      <c r="K2" s="2467"/>
      <c r="L2" s="2466"/>
      <c r="M2" s="2466"/>
    </row>
    <row r="3" spans="1:37" ht="18" customHeight="1" thickBot="1">
      <c r="A3" s="1297" t="s">
        <v>881</v>
      </c>
      <c r="B3" s="1298">
        <f ca="1">IF(ISERROR(D2/F43),0,ROUND(D2/F43,0))</f>
        <v>11941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163864</v>
      </c>
      <c r="D5" s="1273" t="s">
        <v>889</v>
      </c>
      <c r="E5" s="1008"/>
      <c r="F5" s="1009"/>
      <c r="G5" s="1292"/>
      <c r="H5" s="291">
        <v>1</v>
      </c>
      <c r="I5" s="292" t="s">
        <v>888</v>
      </c>
      <c r="J5" s="1007">
        <f ca="1">J6+J10+J12</f>
        <v>0</v>
      </c>
      <c r="K5" s="1273" t="s">
        <v>889</v>
      </c>
      <c r="L5" s="1008"/>
      <c r="M5" s="1009"/>
    </row>
    <row r="6" spans="1:37" ht="18" customHeight="1">
      <c r="A6" s="1006" t="s">
        <v>398</v>
      </c>
      <c r="B6" s="3409" t="s">
        <v>694</v>
      </c>
      <c r="C6" s="1011">
        <f ca="1">ROUND(F6*F8*F7*(1-F9),0)</f>
        <v>163659</v>
      </c>
      <c r="D6" s="147" t="s">
        <v>2106</v>
      </c>
      <c r="E6" s="294" t="s">
        <v>696</v>
      </c>
      <c r="F6" s="295">
        <f ca="1">INDIRECT("'数据-取费表'!u"&amp;$G$1)</f>
        <v>3.3</v>
      </c>
      <c r="G6" s="1292"/>
      <c r="H6" s="1006" t="s">
        <v>398</v>
      </c>
      <c r="I6" s="3409" t="s">
        <v>694</v>
      </c>
      <c r="J6" s="293">
        <f ca="1">ROUND(M6*M8*M7*(1-M9),0)</f>
        <v>0</v>
      </c>
      <c r="K6" s="1284" t="s">
        <v>2107</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150.97</v>
      </c>
      <c r="G7" s="1292"/>
      <c r="H7" s="296"/>
      <c r="I7" s="3410"/>
      <c r="J7" s="298"/>
      <c r="K7" s="299"/>
      <c r="L7" s="294" t="s">
        <v>697</v>
      </c>
      <c r="M7" s="295">
        <f ca="1">F7</f>
        <v>150.97</v>
      </c>
    </row>
    <row r="8" spans="1:37" ht="18" customHeight="1">
      <c r="A8" s="296"/>
      <c r="B8" s="3410"/>
      <c r="C8" s="298"/>
      <c r="D8" s="299"/>
      <c r="E8" s="294" t="s">
        <v>698</v>
      </c>
      <c r="F8" s="295">
        <f ca="1">INDIRECT("'数据-取费表'!ai"&amp;$G$1)</f>
        <v>365</v>
      </c>
      <c r="G8" s="1292"/>
      <c r="H8" s="296"/>
      <c r="I8" s="3410"/>
      <c r="J8" s="298"/>
      <c r="K8" s="299"/>
      <c r="L8" s="294" t="s">
        <v>698</v>
      </c>
      <c r="M8" s="295">
        <f ca="1">INDIRECT("'数据-取费表'!ai"&amp;$G$1)</f>
        <v>365</v>
      </c>
    </row>
    <row r="9" spans="1:37" ht="18" customHeight="1">
      <c r="A9" s="296"/>
      <c r="B9" s="3411"/>
      <c r="C9" s="298"/>
      <c r="D9" s="299"/>
      <c r="E9" s="294" t="s">
        <v>699</v>
      </c>
      <c r="F9" s="304">
        <f ca="1">INDIRECT("'数据-取费表'!w"&amp;$G$1)</f>
        <v>0.1</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205</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461631</v>
      </c>
      <c r="D13" s="1018" t="s">
        <v>705</v>
      </c>
      <c r="E13" s="1018" t="s">
        <v>706</v>
      </c>
      <c r="F13" s="1019">
        <f ca="1">INDIRECT("'数据-取费表'!y"&amp;$G$1)</f>
        <v>0.63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528395</v>
      </c>
      <c r="D14" s="1257" t="s">
        <v>708</v>
      </c>
      <c r="E14" s="1255"/>
      <c r="F14" s="311"/>
      <c r="G14" s="1292"/>
      <c r="H14" s="928" t="s">
        <v>398</v>
      </c>
      <c r="I14" s="294" t="s">
        <v>709</v>
      </c>
      <c r="J14" s="21">
        <f ca="1">C29</f>
        <v>732747</v>
      </c>
      <c r="K14" s="12"/>
      <c r="L14" s="759"/>
      <c r="M14" s="760"/>
    </row>
    <row r="15" spans="1:37" s="1304" customFormat="1" ht="18" customHeight="1" thickBot="1">
      <c r="A15" s="928" t="s">
        <v>399</v>
      </c>
      <c r="B15" s="294" t="s">
        <v>710</v>
      </c>
      <c r="C15" s="21">
        <f ca="1">ROUND(C14*F15,0)</f>
        <v>26420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7327</v>
      </c>
      <c r="K16" s="1024" t="s">
        <v>715</v>
      </c>
      <c r="L16" s="1025"/>
      <c r="M16" s="1009"/>
    </row>
    <row r="17" spans="1:37" s="1304" customFormat="1" ht="18" customHeight="1">
      <c r="A17" s="928" t="s">
        <v>681</v>
      </c>
      <c r="B17" s="294" t="s">
        <v>716</v>
      </c>
      <c r="C17" s="21">
        <f ca="1">ROUND(F17*(F43+INDIRECT("'数据-取费表'!S"&amp;$G$1)),0)</f>
        <v>30194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10568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595577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11912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7327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9113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-7327</v>
      </c>
      <c r="K25" s="1032" t="s">
        <v>753</v>
      </c>
      <c r="L25" s="1033"/>
      <c r="M25" s="1034"/>
    </row>
    <row r="26" spans="1:37" ht="18" customHeight="1">
      <c r="A26" s="928" t="s">
        <v>397</v>
      </c>
      <c r="B26" s="294" t="s">
        <v>754</v>
      </c>
      <c r="C26" s="21">
        <f ca="1">ROUND((C19+C20)*F26,0)</f>
        <v>60749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732747</v>
      </c>
      <c r="D29" s="1029"/>
      <c r="E29" s="1027"/>
      <c r="F29" s="1030"/>
      <c r="G29" s="1303"/>
      <c r="H29" s="325" t="s">
        <v>396</v>
      </c>
      <c r="I29" s="326" t="s">
        <v>768</v>
      </c>
      <c r="J29" s="327">
        <f ca="1">ROUND(J26/(1+F40)^F41,0)</f>
        <v>0</v>
      </c>
      <c r="K29" s="328" t="s">
        <v>769</v>
      </c>
      <c r="L29" s="329"/>
      <c r="M29" s="330">
        <f ca="1">INDIRECT("'数据-取费表'!k"&amp;$G$1)</f>
        <v>150.97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20339</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10911</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7327</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462</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1639</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143525</v>
      </c>
      <c r="D39" s="1032" t="s">
        <v>773</v>
      </c>
      <c r="E39" s="1033"/>
      <c r="F39" s="1034"/>
      <c r="G39" s="1292"/>
      <c r="H39" s="2471"/>
      <c r="I39" s="1305"/>
      <c r="J39" s="1306"/>
      <c r="K39" s="2469"/>
      <c r="L39" s="2471"/>
      <c r="M39" s="2471"/>
    </row>
    <row r="40" spans="1:18" ht="18" customHeight="1">
      <c r="A40" s="291" t="s">
        <v>395</v>
      </c>
      <c r="B40" s="292" t="s">
        <v>774</v>
      </c>
      <c r="C40" s="293">
        <f ca="1">ROUND(C39*(1-((1+F42)/(1+F40))^F41)/(F40-F42),0)</f>
        <v>1710577</v>
      </c>
      <c r="D40" s="316" t="s">
        <v>758</v>
      </c>
      <c r="E40" s="294" t="s">
        <v>759</v>
      </c>
      <c r="F40" s="304">
        <f ca="1">INDIRECT("'数据-取费表'!I"&amp;$G$1)</f>
        <v>5.5E-2</v>
      </c>
      <c r="G40" s="1292">
        <f ca="1">C39/C5</f>
        <v>0.87587877752282384</v>
      </c>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11331</v>
      </c>
      <c r="D43" s="328" t="s">
        <v>777</v>
      </c>
      <c r="E43" s="329" t="s">
        <v>778</v>
      </c>
      <c r="F43" s="330">
        <f ca="1">INDIRECT("'数据-取费表'!k"&amp;$G$1)</f>
        <v>150.97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-179.20670000000001</v>
      </c>
      <c r="D45" s="3128" t="s">
        <v>3351</v>
      </c>
      <c r="E45" s="1307"/>
      <c r="F45" s="1307"/>
      <c r="O45" s="1310" t="s">
        <v>808</v>
      </c>
      <c r="P45" s="1366"/>
      <c r="Q45" s="1366"/>
      <c r="R45" s="1366"/>
    </row>
    <row r="46" spans="1:18" s="1292" customFormat="1" ht="13.8" thickBot="1">
      <c r="A46" s="1311" t="s">
        <v>809</v>
      </c>
      <c r="C46" s="1312">
        <f ca="1">ROUND(C45,0)</f>
        <v>-179</v>
      </c>
      <c r="D46" s="1313" t="str">
        <f>C2</f>
        <v>万元</v>
      </c>
      <c r="I46" s="1314" t="s">
        <v>810</v>
      </c>
      <c r="J46" s="1315"/>
      <c r="K46" s="1316"/>
      <c r="L46" s="1317">
        <f ca="1">IF(M47="住宅",0,IF(L48&gt;J51,L60,J60))</f>
        <v>92147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40</v>
      </c>
      <c r="M47" s="1288" t="str">
        <f>IF(ISNUMBER(FIND("住宅",C1)),"住宅","非住宅")</f>
        <v>非住宅</v>
      </c>
      <c r="O47" s="1325" t="s">
        <v>403</v>
      </c>
      <c r="P47" s="1326" t="s">
        <v>817</v>
      </c>
      <c r="Q47" s="1327">
        <f ca="1">C40+J29</f>
        <v>1710577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16</v>
      </c>
      <c r="O48" s="1325" t="s">
        <v>404</v>
      </c>
      <c r="P48" s="1326" t="s">
        <v>821</v>
      </c>
      <c r="Q48" s="1327">
        <f ca="1">J60</f>
        <v>92147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732747</v>
      </c>
      <c r="R49" s="1327" t="s">
        <v>818</v>
      </c>
    </row>
    <row r="50" spans="1:18" s="1292" customFormat="1" ht="13.8" thickBot="1">
      <c r="A50" s="922"/>
      <c r="B50" s="925"/>
      <c r="C50" s="926"/>
      <c r="D50" s="899"/>
      <c r="E50" s="993" t="s">
        <v>697</v>
      </c>
      <c r="F50" s="994">
        <f ca="1">F7</f>
        <v>150.97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1628464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16</v>
      </c>
      <c r="K53" s="3407" t="s">
        <v>837</v>
      </c>
      <c r="L53" s="3408"/>
      <c r="O53" s="1325" t="s">
        <v>409</v>
      </c>
      <c r="P53" s="1326" t="s">
        <v>838</v>
      </c>
      <c r="Q53" s="1327">
        <f ca="1">Q47+Q48</f>
        <v>1802724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461631</v>
      </c>
      <c r="D56" s="1352"/>
      <c r="E56" s="1353"/>
      <c r="F56" s="1345"/>
      <c r="I56" s="1354" t="s">
        <v>842</v>
      </c>
      <c r="J56" s="1355" t="s">
        <v>3433</v>
      </c>
      <c r="K56" s="1328" t="s">
        <v>843</v>
      </c>
      <c r="L56" s="1331" t="str">
        <f ca="1">IF(L48&lt;J51,"——",L48-J51)</f>
        <v>——</v>
      </c>
      <c r="O56" s="1325" t="s">
        <v>403</v>
      </c>
      <c r="P56" s="1326" t="s">
        <v>817</v>
      </c>
      <c r="Q56" s="1327">
        <f ca="1">C40+J29</f>
        <v>1710577</v>
      </c>
      <c r="R56" s="1327" t="s">
        <v>818</v>
      </c>
    </row>
    <row r="57" spans="1:18" s="1292" customFormat="1" ht="24.6" thickBot="1">
      <c r="A57" s="1356"/>
      <c r="B57" s="896" t="s">
        <v>767</v>
      </c>
      <c r="C57" s="230">
        <f ca="1">C29</f>
        <v>732747</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7789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293099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92147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1710577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7327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462</v>
      </c>
      <c r="D65" s="910" t="s">
        <v>743</v>
      </c>
      <c r="E65" s="896" t="s">
        <v>744</v>
      </c>
      <c r="F65" s="321">
        <f t="shared" ca="1" si="0"/>
        <v>1E-3</v>
      </c>
      <c r="I65" s="1367" t="s">
        <v>867</v>
      </c>
      <c r="J65" s="610">
        <v>40</v>
      </c>
      <c r="K65" s="610">
        <v>30</v>
      </c>
      <c r="L65" s="610">
        <v>50</v>
      </c>
      <c r="M65" s="1369">
        <v>0.02</v>
      </c>
      <c r="O65" s="1325" t="s">
        <v>403</v>
      </c>
      <c r="P65" s="1326" t="s">
        <v>868</v>
      </c>
      <c r="Q65" s="1327">
        <f ca="1">C40+J29</f>
        <v>1710577</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-7789</v>
      </c>
      <c r="D67" s="909" t="s">
        <v>753</v>
      </c>
      <c r="E67" s="914"/>
      <c r="F67" s="915"/>
      <c r="O67" s="1334" t="s">
        <v>405</v>
      </c>
      <c r="P67" s="1326" t="s">
        <v>850</v>
      </c>
      <c r="Q67" s="1370">
        <f ca="1">L51</f>
        <v>1628464</v>
      </c>
      <c r="R67" s="1327" t="s">
        <v>870</v>
      </c>
    </row>
    <row r="68" spans="1:18" s="1292" customFormat="1" ht="16.2" thickBot="1">
      <c r="A68" s="893" t="s">
        <v>395</v>
      </c>
      <c r="B68" s="894" t="s">
        <v>774</v>
      </c>
      <c r="C68" s="293">
        <f ca="1">ROUND(C67*(1-((1+F70)/(1+F68))^F69)/(F68-F70),0)</f>
        <v>-81490</v>
      </c>
      <c r="D68" s="911" t="s">
        <v>758</v>
      </c>
      <c r="E68" s="896" t="s">
        <v>759</v>
      </c>
      <c r="F68" s="304">
        <f ca="1">F40</f>
        <v>5.5E-2</v>
      </c>
      <c r="O68" s="1334" t="s">
        <v>406</v>
      </c>
      <c r="P68" s="1371" t="s">
        <v>871</v>
      </c>
      <c r="Q68" s="1327">
        <f ca="1">ROUND(Q69-Q70*Q71,0)</f>
        <v>111211</v>
      </c>
      <c r="R68" s="1327" t="s">
        <v>414</v>
      </c>
    </row>
    <row r="69" spans="1:18" s="1292" customFormat="1" ht="13.8" thickBot="1">
      <c r="A69" s="897"/>
      <c r="B69" s="898"/>
      <c r="C69" s="298"/>
      <c r="D69" s="916" t="s">
        <v>762</v>
      </c>
      <c r="E69" s="896" t="s">
        <v>763</v>
      </c>
      <c r="F69" s="324">
        <f ca="1">F41</f>
        <v>16</v>
      </c>
      <c r="O69" s="1334" t="s">
        <v>411</v>
      </c>
      <c r="P69" s="1371" t="s">
        <v>872</v>
      </c>
      <c r="Q69" s="1327">
        <f ca="1">C39</f>
        <v>143525</v>
      </c>
      <c r="R69" s="1327" t="s">
        <v>818</v>
      </c>
    </row>
    <row r="70" spans="1:18" s="1292" customFormat="1" ht="13.8" thickBot="1">
      <c r="A70" s="900"/>
      <c r="B70" s="901"/>
      <c r="C70" s="302"/>
      <c r="D70" s="912"/>
      <c r="E70" s="896" t="s">
        <v>766</v>
      </c>
      <c r="F70" s="991"/>
      <c r="O70" s="1334" t="s">
        <v>412</v>
      </c>
      <c r="P70" s="1371" t="s">
        <v>873</v>
      </c>
      <c r="Q70" s="1327">
        <f ca="1">C13</f>
        <v>461631</v>
      </c>
      <c r="R70" s="1327" t="s">
        <v>818</v>
      </c>
    </row>
    <row r="71" spans="1:18" s="1292" customFormat="1" ht="13.8" thickBot="1">
      <c r="A71" s="917" t="s">
        <v>396</v>
      </c>
      <c r="B71" s="918" t="s">
        <v>776</v>
      </c>
      <c r="C71" s="327">
        <f ca="1">ROUND(C68/F71,0)</f>
        <v>-540</v>
      </c>
      <c r="D71" s="919" t="s">
        <v>777</v>
      </c>
      <c r="E71" s="920" t="s">
        <v>778</v>
      </c>
      <c r="F71" s="330">
        <f ca="1">F43</f>
        <v>150.97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32314</v>
      </c>
      <c r="D75" s="1292"/>
      <c r="E75" s="1292"/>
      <c r="F75" s="1292"/>
      <c r="K75" s="1309"/>
      <c r="L75" s="1292"/>
      <c r="O75" s="1325" t="s">
        <v>409</v>
      </c>
      <c r="P75" s="1326" t="s">
        <v>838</v>
      </c>
      <c r="Q75" s="1327">
        <f ca="1">Q65+Q66</f>
        <v>1710577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0.77500000000000002</v>
      </c>
    </row>
    <row r="80" spans="1:18">
      <c r="B80" s="331" t="s">
        <v>800</v>
      </c>
      <c r="C80" s="266">
        <f ca="1">ROUND(C75/C39,3)</f>
        <v>0.22500000000000001</v>
      </c>
    </row>
    <row r="81" spans="2:3">
      <c r="B81" s="262" t="s">
        <v>801</v>
      </c>
      <c r="C81" s="230"/>
    </row>
    <row r="82" spans="2:3">
      <c r="B82" s="265" t="s">
        <v>802</v>
      </c>
      <c r="C82" s="267">
        <f ca="1">1-C83</f>
        <v>0.73</v>
      </c>
    </row>
    <row r="83" spans="2:3">
      <c r="B83" s="265" t="s">
        <v>803</v>
      </c>
      <c r="C83" s="266">
        <f ca="1">ROUND(C13/C40,3)</f>
        <v>0.27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418" t="s">
        <v>2317</v>
      </c>
      <c r="K2" s="3419"/>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0" t="s">
        <v>2327</v>
      </c>
      <c r="K3" s="3421"/>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0" t="s">
        <v>2329</v>
      </c>
      <c r="K4" s="3421"/>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6" t="s">
        <v>2333</v>
      </c>
      <c r="B6" s="3427"/>
      <c r="C6" s="3428"/>
      <c r="D6" s="2619"/>
      <c r="E6" s="2620"/>
      <c r="F6" s="2621"/>
      <c r="G6" s="2622"/>
      <c r="H6" s="2597"/>
      <c r="I6" s="2598"/>
      <c r="J6" s="3412">
        <v>1</v>
      </c>
      <c r="K6" s="3413"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2"/>
      <c r="K7" s="3414"/>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9" t="s">
        <v>2347</v>
      </c>
      <c r="C8" s="3430"/>
      <c r="D8" s="2638" t="s">
        <v>2348</v>
      </c>
      <c r="E8" s="2639" t="s">
        <v>2349</v>
      </c>
      <c r="F8" s="2640" t="s">
        <v>2350</v>
      </c>
      <c r="G8" s="2641"/>
      <c r="H8" s="2597"/>
      <c r="I8" s="2598"/>
      <c r="J8" s="3412"/>
      <c r="K8" s="3414"/>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9" t="s">
        <v>2353</v>
      </c>
      <c r="C9" s="3430"/>
      <c r="D9" s="2638">
        <f>ROUND(D6*E9,0)</f>
        <v>0</v>
      </c>
      <c r="E9" s="2642"/>
      <c r="F9" s="2643" t="s">
        <v>2354</v>
      </c>
      <c r="G9" s="2622"/>
      <c r="H9" s="2597"/>
      <c r="I9" s="2598"/>
      <c r="J9" s="3412"/>
      <c r="K9" s="3414"/>
      <c r="L9" s="2632" t="s">
        <v>2355</v>
      </c>
      <c r="M9" s="2633"/>
      <c r="N9" s="2609"/>
      <c r="O9" s="2634"/>
      <c r="P9" s="2634"/>
      <c r="Q9" s="2635">
        <v>365</v>
      </c>
      <c r="R9" s="2636">
        <f t="shared" si="0"/>
        <v>0</v>
      </c>
      <c r="S9" s="2590"/>
      <c r="T9" s="2590"/>
      <c r="U9" s="2590"/>
      <c r="V9" s="2598"/>
    </row>
    <row r="10" spans="1:22" s="2602" customFormat="1" ht="13.2" customHeight="1">
      <c r="A10" s="2637">
        <v>2</v>
      </c>
      <c r="B10" s="3429" t="s">
        <v>2356</v>
      </c>
      <c r="C10" s="3430"/>
      <c r="D10" s="2638">
        <f>ROUND(D6*E10,0)</f>
        <v>0</v>
      </c>
      <c r="E10" s="2642"/>
      <c r="F10" s="2643" t="s">
        <v>2357</v>
      </c>
      <c r="G10" s="2622"/>
      <c r="H10" s="2597"/>
      <c r="I10" s="2598"/>
      <c r="J10" s="3412"/>
      <c r="K10" s="3414"/>
      <c r="L10" s="2632" t="s">
        <v>2358</v>
      </c>
      <c r="M10" s="2633"/>
      <c r="N10" s="2609"/>
      <c r="O10" s="2634"/>
      <c r="P10" s="2634"/>
      <c r="Q10" s="2635">
        <v>365</v>
      </c>
      <c r="R10" s="2636">
        <f t="shared" si="0"/>
        <v>0</v>
      </c>
      <c r="S10" s="2590"/>
      <c r="T10" s="2590"/>
      <c r="U10" s="2590"/>
      <c r="V10" s="2598"/>
    </row>
    <row r="11" spans="1:22" s="2602" customFormat="1" ht="13.2" customHeight="1">
      <c r="A11" s="2637">
        <v>3</v>
      </c>
      <c r="B11" s="3429" t="s">
        <v>2359</v>
      </c>
      <c r="C11" s="3430"/>
      <c r="D11" s="2638">
        <f>D12+D14+D15+D16</f>
        <v>0</v>
      </c>
      <c r="E11" s="2644" t="e">
        <f>D11/D6</f>
        <v>#DIV/0!</v>
      </c>
      <c r="F11" s="2640"/>
      <c r="G11" s="2641"/>
      <c r="H11" s="2597"/>
      <c r="I11" s="2598"/>
      <c r="J11" s="3412"/>
      <c r="K11" s="3414"/>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2" t="s">
        <v>2362</v>
      </c>
      <c r="C12" s="3423"/>
      <c r="D12" s="2646">
        <f>ROUND(D13*1.2%*(1-30%),0)</f>
        <v>0</v>
      </c>
      <c r="E12" s="2647">
        <v>1.2E-2</v>
      </c>
      <c r="F12" s="2640" t="s">
        <v>2363</v>
      </c>
      <c r="G12" s="2641"/>
      <c r="H12" s="2597"/>
      <c r="I12" s="2598"/>
      <c r="J12" s="3412"/>
      <c r="K12" s="3414"/>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2"/>
      <c r="K13" s="3414"/>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2" t="s">
        <v>2368</v>
      </c>
      <c r="C14" s="3423"/>
      <c r="D14" s="2646">
        <f>ROUND(E14*B5/10000,0)</f>
        <v>0</v>
      </c>
      <c r="E14" s="2635"/>
      <c r="F14" s="2640" t="s">
        <v>2369</v>
      </c>
      <c r="G14" s="2641"/>
      <c r="H14" s="2597"/>
      <c r="I14" s="2598"/>
      <c r="J14" s="3412"/>
      <c r="K14" s="3415"/>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2" t="s">
        <v>2372</v>
      </c>
      <c r="C15" s="3423"/>
      <c r="D15" s="2646">
        <f>ROUND(D6*E15,0)</f>
        <v>0</v>
      </c>
      <c r="E15" s="2647">
        <v>5.5E-2</v>
      </c>
      <c r="F15" s="2640" t="s">
        <v>2373</v>
      </c>
      <c r="G15" s="2622"/>
      <c r="H15" s="2597"/>
      <c r="I15" s="2598"/>
      <c r="J15" s="3412">
        <v>2</v>
      </c>
      <c r="K15" s="3413"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2" t="s">
        <v>2381</v>
      </c>
      <c r="C16" s="3423"/>
      <c r="D16" s="2657">
        <f>D6*E16</f>
        <v>0</v>
      </c>
      <c r="E16" s="2658"/>
      <c r="F16" s="2643" t="s">
        <v>2382</v>
      </c>
      <c r="G16" s="2622"/>
      <c r="H16" s="2597"/>
      <c r="I16" s="2598"/>
      <c r="J16" s="3412"/>
      <c r="K16" s="3414"/>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4" t="s">
        <v>2384</v>
      </c>
      <c r="C17" s="3425"/>
      <c r="D17" s="2660">
        <f>ROUND(D6*E17,0)</f>
        <v>0</v>
      </c>
      <c r="E17" s="2661"/>
      <c r="F17" s="2662" t="s">
        <v>2385</v>
      </c>
      <c r="G17" s="2622"/>
      <c r="H17" s="2597"/>
      <c r="I17" s="2598"/>
      <c r="J17" s="3412"/>
      <c r="K17" s="3414"/>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2"/>
      <c r="K18" s="3414"/>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2"/>
      <c r="K19" s="3415"/>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2">
        <v>3</v>
      </c>
      <c r="K20" s="3413"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2"/>
      <c r="K21" s="3414"/>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2"/>
      <c r="K22" s="3414"/>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2"/>
      <c r="K23" s="3414"/>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2"/>
      <c r="K24" s="3415"/>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8" t="s">
        <v>2317</v>
      </c>
      <c r="K32" s="3419"/>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0" t="s">
        <v>2327</v>
      </c>
      <c r="K33" s="3421"/>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0" t="s">
        <v>2329</v>
      </c>
      <c r="K34" s="342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2">
        <v>1</v>
      </c>
      <c r="K36" s="3413"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2"/>
      <c r="K37" s="3414"/>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2"/>
      <c r="K38" s="3414"/>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2"/>
      <c r="K39" s="3414"/>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2"/>
      <c r="K40" s="3415"/>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180.2724</v>
      </c>
      <c r="C2" s="1729" t="s">
        <v>1651</v>
      </c>
      <c r="D2" s="1730" t="s">
        <v>1652</v>
      </c>
      <c r="E2" s="2391">
        <f>SUM(E6:E13)</f>
        <v>150.97</v>
      </c>
      <c r="F2" s="2477"/>
      <c r="G2" s="459"/>
      <c r="H2" s="459"/>
      <c r="I2" s="459"/>
      <c r="J2" s="459"/>
      <c r="K2" s="459"/>
      <c r="L2" s="459"/>
      <c r="M2" s="459"/>
      <c r="N2" s="459"/>
      <c r="O2" s="459"/>
      <c r="P2" s="459"/>
      <c r="Q2" s="459"/>
      <c r="R2" s="459"/>
      <c r="S2" s="459"/>
    </row>
    <row r="3" spans="1:22" ht="15.6">
      <c r="A3" s="1728" t="s">
        <v>686</v>
      </c>
      <c r="B3" s="2385">
        <f ca="1">ROUND(B2*10000/E2,0)</f>
        <v>11941</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1" t="s">
        <v>1654</v>
      </c>
      <c r="C5" s="3432"/>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180.2724</v>
      </c>
      <c r="C6" s="1729" t="s">
        <v>1651</v>
      </c>
      <c r="D6" s="2477"/>
      <c r="E6" s="2390">
        <f>IF(OR(A6=0,F6="否"),0,'数据-取费表'!K6+'数据-取费表'!S6)</f>
        <v>150.97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150.97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9" t="s">
        <v>1667</v>
      </c>
      <c r="D4" s="3380"/>
      <c r="E4" s="3381" t="s">
        <v>1668</v>
      </c>
      <c r="F4" s="3382"/>
      <c r="G4" s="3379" t="s">
        <v>1669</v>
      </c>
      <c r="H4" s="3380"/>
      <c r="I4" s="3379" t="s">
        <v>1670</v>
      </c>
      <c r="J4" s="3380"/>
      <c r="K4" s="1744" t="s">
        <v>1671</v>
      </c>
      <c r="L4" s="2484"/>
      <c r="M4" s="2485"/>
      <c r="N4" s="2485"/>
      <c r="O4" s="2485"/>
      <c r="P4" s="3383" t="s">
        <v>1672</v>
      </c>
      <c r="Q4" s="3384"/>
      <c r="R4" s="3389" t="s">
        <v>1668</v>
      </c>
      <c r="S4" s="3390"/>
      <c r="T4" s="3389" t="s">
        <v>1669</v>
      </c>
      <c r="U4" s="3390"/>
      <c r="V4" s="3362" t="s">
        <v>1670</v>
      </c>
      <c r="W4" s="3362"/>
      <c r="X4" s="1265"/>
      <c r="Y4" s="3389" t="s">
        <v>1672</v>
      </c>
      <c r="Z4" s="3390"/>
      <c r="AA4" s="3376" t="s">
        <v>1668</v>
      </c>
      <c r="AB4" s="3376" t="s">
        <v>1669</v>
      </c>
      <c r="AC4" s="3376" t="s">
        <v>1670</v>
      </c>
    </row>
    <row r="5" spans="1:29">
      <c r="A5" s="348"/>
      <c r="B5" s="349"/>
      <c r="C5" s="3402" t="s">
        <v>1673</v>
      </c>
      <c r="D5" s="3398"/>
      <c r="E5" s="3433" t="s">
        <v>1674</v>
      </c>
      <c r="F5" s="3406"/>
      <c r="G5" s="3402" t="s">
        <v>1675</v>
      </c>
      <c r="H5" s="3398"/>
      <c r="I5" s="3402" t="s">
        <v>1676</v>
      </c>
      <c r="J5" s="3398"/>
      <c r="K5" s="1745"/>
      <c r="L5" s="2484"/>
      <c r="M5" s="2485"/>
      <c r="N5" s="2485"/>
      <c r="O5" s="2485"/>
      <c r="P5" s="3385"/>
      <c r="Q5" s="3386"/>
      <c r="R5" s="3391"/>
      <c r="S5" s="3392"/>
      <c r="T5" s="3391"/>
      <c r="U5" s="3392"/>
      <c r="V5" s="3362"/>
      <c r="W5" s="3362"/>
      <c r="X5" s="1265"/>
      <c r="Y5" s="3391"/>
      <c r="Z5" s="3392"/>
      <c r="AA5" s="3377"/>
      <c r="AB5" s="3377"/>
      <c r="AC5" s="3377"/>
    </row>
    <row r="6" spans="1:29" ht="15" thickBot="1">
      <c r="A6" s="350"/>
      <c r="B6" s="351"/>
      <c r="C6" s="3395" t="s">
        <v>1677</v>
      </c>
      <c r="D6" s="3396"/>
      <c r="E6" s="3403" t="s">
        <v>1677</v>
      </c>
      <c r="F6" s="3404"/>
      <c r="G6" s="3395" t="s">
        <v>1677</v>
      </c>
      <c r="H6" s="3396"/>
      <c r="I6" s="3395" t="s">
        <v>1677</v>
      </c>
      <c r="J6" s="3396"/>
      <c r="K6" s="1745" t="s">
        <v>1678</v>
      </c>
      <c r="L6" s="2484"/>
      <c r="M6" s="2485"/>
      <c r="N6" s="2485"/>
      <c r="O6" s="2485"/>
      <c r="P6" s="3387"/>
      <c r="Q6" s="3388"/>
      <c r="R6" s="3391"/>
      <c r="S6" s="3392"/>
      <c r="T6" s="3393"/>
      <c r="U6" s="3394"/>
      <c r="V6" s="3362"/>
      <c r="W6" s="3362"/>
      <c r="X6" s="1265"/>
      <c r="Y6" s="3393"/>
      <c r="Z6" s="3394"/>
      <c r="AA6" s="3378"/>
      <c r="AB6" s="3378"/>
      <c r="AC6" s="3378"/>
    </row>
    <row r="7" spans="1:29" s="102" customFormat="1" ht="15" thickBot="1">
      <c r="A7" s="352" t="s">
        <v>1679</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9" t="s">
        <v>1680</v>
      </c>
      <c r="Q7" s="3401"/>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5"/>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5"/>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5"/>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5"/>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6"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7"/>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7"/>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7"/>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7"/>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7"/>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7"/>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7"/>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7"/>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7"/>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7"/>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7"/>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7"/>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7"/>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7"/>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7"/>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150.97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40" t="s">
        <v>1775</v>
      </c>
      <c r="Q4" s="3441"/>
      <c r="R4" s="3444" t="s">
        <v>1771</v>
      </c>
      <c r="S4" s="3445"/>
      <c r="T4" s="3444" t="s">
        <v>1772</v>
      </c>
      <c r="U4" s="3445"/>
      <c r="V4" s="3446" t="s">
        <v>1773</v>
      </c>
      <c r="W4" s="3446"/>
      <c r="X4" s="1809"/>
      <c r="Y4" s="3444" t="s">
        <v>1775</v>
      </c>
      <c r="Z4" s="3445"/>
      <c r="AA4" s="3448" t="s">
        <v>1771</v>
      </c>
      <c r="AB4" s="3448" t="s">
        <v>1772</v>
      </c>
      <c r="AC4" s="3437" t="s">
        <v>1773</v>
      </c>
    </row>
    <row r="5" spans="1:29">
      <c r="A5" s="348"/>
      <c r="B5" s="349"/>
      <c r="C5" s="3402" t="s">
        <v>1673</v>
      </c>
      <c r="D5" s="3398"/>
      <c r="E5" s="3433" t="s">
        <v>1674</v>
      </c>
      <c r="F5" s="3406"/>
      <c r="G5" s="3402" t="s">
        <v>1675</v>
      </c>
      <c r="H5" s="3398"/>
      <c r="I5" s="3402" t="s">
        <v>1676</v>
      </c>
      <c r="J5" s="3398"/>
      <c r="K5" s="537"/>
      <c r="L5" s="2484"/>
      <c r="M5" s="2485"/>
      <c r="N5" s="2485"/>
      <c r="O5" s="2485"/>
      <c r="P5" s="3442"/>
      <c r="Q5" s="3386"/>
      <c r="R5" s="3391"/>
      <c r="S5" s="3392"/>
      <c r="T5" s="3391"/>
      <c r="U5" s="3392"/>
      <c r="V5" s="3362"/>
      <c r="W5" s="3362"/>
      <c r="X5" s="1265"/>
      <c r="Y5" s="3391"/>
      <c r="Z5" s="3392"/>
      <c r="AA5" s="3377"/>
      <c r="AB5" s="3377"/>
      <c r="AC5" s="3438"/>
    </row>
    <row r="6" spans="1:29" ht="15" thickBot="1">
      <c r="A6" s="350"/>
      <c r="B6" s="351"/>
      <c r="C6" s="3395" t="s">
        <v>1677</v>
      </c>
      <c r="D6" s="3396"/>
      <c r="E6" s="3403" t="s">
        <v>1677</v>
      </c>
      <c r="F6" s="3404"/>
      <c r="G6" s="3395" t="s">
        <v>1677</v>
      </c>
      <c r="H6" s="3396"/>
      <c r="I6" s="3395" t="s">
        <v>1677</v>
      </c>
      <c r="J6" s="3396"/>
      <c r="K6" s="537" t="s">
        <v>1678</v>
      </c>
      <c r="L6" s="2484"/>
      <c r="M6" s="2485"/>
      <c r="N6" s="2485"/>
      <c r="O6" s="2485"/>
      <c r="P6" s="3443"/>
      <c r="Q6" s="3388"/>
      <c r="R6" s="3391"/>
      <c r="S6" s="3392"/>
      <c r="T6" s="3393"/>
      <c r="U6" s="3394"/>
      <c r="V6" s="3362"/>
      <c r="W6" s="3362"/>
      <c r="X6" s="1265"/>
      <c r="Y6" s="3393"/>
      <c r="Z6" s="3394"/>
      <c r="AA6" s="3378"/>
      <c r="AB6" s="3378"/>
      <c r="AC6" s="3439"/>
    </row>
    <row r="7" spans="1:29" s="102" customFormat="1" ht="15" thickBot="1">
      <c r="A7" s="352" t="s">
        <v>1679</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7"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7" t="s">
        <v>1683</v>
      </c>
      <c r="Q8" s="3400"/>
      <c r="R8" s="664" t="s">
        <v>14</v>
      </c>
      <c r="S8" s="665">
        <f t="shared" si="0"/>
        <v>100</v>
      </c>
      <c r="T8" s="664" t="s">
        <v>14</v>
      </c>
      <c r="U8" s="665">
        <f t="shared" si="1"/>
        <v>100</v>
      </c>
      <c r="V8" s="664" t="s">
        <v>14</v>
      </c>
      <c r="W8" s="665">
        <f t="shared" si="2"/>
        <v>100</v>
      </c>
      <c r="X8" s="666"/>
      <c r="Y8" s="3399" t="s">
        <v>1683</v>
      </c>
      <c r="Z8" s="340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5"/>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66"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67"/>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67"/>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67"/>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67"/>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67"/>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67"/>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67"/>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67"/>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67"/>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67"/>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7"/>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67"/>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67"/>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7"/>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7"/>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7"/>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7"/>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75" t="str">
        <f>A48</f>
        <v>成交单价（元/平方米）</v>
      </c>
      <c r="Q48" s="3361"/>
      <c r="R48" s="3362">
        <f>E48</f>
        <v>0</v>
      </c>
      <c r="S48" s="3362"/>
      <c r="T48" s="3362">
        <f>G48</f>
        <v>0</v>
      </c>
      <c r="U48" s="3362"/>
      <c r="V48" s="3362">
        <f>I48</f>
        <v>0</v>
      </c>
      <c r="W48" s="3362"/>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75" t="str">
        <f>A49</f>
        <v>比较价值（元/平方米）</v>
      </c>
      <c r="Q49" s="336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150.97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860"/>
      <c r="M4" s="861"/>
      <c r="N4" s="861"/>
      <c r="O4" s="861"/>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c r="A5" s="348"/>
      <c r="B5" s="349"/>
      <c r="C5" s="3402" t="s">
        <v>1673</v>
      </c>
      <c r="D5" s="3398"/>
      <c r="E5" s="3433" t="s">
        <v>1674</v>
      </c>
      <c r="F5" s="3406"/>
      <c r="G5" s="3402" t="s">
        <v>1675</v>
      </c>
      <c r="H5" s="3398"/>
      <c r="I5" s="3402" t="s">
        <v>1676</v>
      </c>
      <c r="J5" s="3398"/>
      <c r="K5" s="537"/>
      <c r="L5" s="860"/>
      <c r="M5" s="861"/>
      <c r="N5" s="861"/>
      <c r="O5" s="861"/>
      <c r="P5" s="3385"/>
      <c r="Q5" s="3386"/>
      <c r="R5" s="3391"/>
      <c r="S5" s="3392"/>
      <c r="T5" s="3391"/>
      <c r="U5" s="3392"/>
      <c r="V5" s="3362"/>
      <c r="W5" s="3362"/>
      <c r="X5" s="1265"/>
      <c r="Y5" s="3391"/>
      <c r="Z5" s="3392"/>
      <c r="AA5" s="3377"/>
      <c r="AB5" s="3377"/>
      <c r="AC5" s="3377"/>
    </row>
    <row r="6" spans="1:29" ht="15" thickBot="1">
      <c r="A6" s="350"/>
      <c r="B6" s="351"/>
      <c r="C6" s="3395" t="s">
        <v>1677</v>
      </c>
      <c r="D6" s="3396"/>
      <c r="E6" s="3403" t="s">
        <v>1677</v>
      </c>
      <c r="F6" s="3404"/>
      <c r="G6" s="3395" t="s">
        <v>1677</v>
      </c>
      <c r="H6" s="3396"/>
      <c r="I6" s="3395" t="s">
        <v>1677</v>
      </c>
      <c r="J6" s="3396"/>
      <c r="K6" s="537" t="s">
        <v>1678</v>
      </c>
      <c r="L6" s="860"/>
      <c r="M6" s="861"/>
      <c r="N6" s="861"/>
      <c r="O6" s="861"/>
      <c r="P6" s="3387"/>
      <c r="Q6" s="3388"/>
      <c r="R6" s="3391"/>
      <c r="S6" s="3392"/>
      <c r="T6" s="3393"/>
      <c r="U6" s="3394"/>
      <c r="V6" s="3362"/>
      <c r="W6" s="3362"/>
      <c r="X6" s="1265"/>
      <c r="Y6" s="3393"/>
      <c r="Z6" s="3394"/>
      <c r="AA6" s="3378"/>
      <c r="AB6" s="3378"/>
      <c r="AC6" s="3378"/>
    </row>
    <row r="7" spans="1:29" s="102" customFormat="1" ht="15" thickBot="1">
      <c r="A7" s="352" t="s">
        <v>1679</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1" t="str">
        <f>A41</f>
        <v>成交单价（元/平方米）</v>
      </c>
      <c r="Q41" s="3361"/>
      <c r="R41" s="3362">
        <f>E41</f>
        <v>0</v>
      </c>
      <c r="S41" s="3362"/>
      <c r="T41" s="3362">
        <f>G41</f>
        <v>0</v>
      </c>
      <c r="U41" s="3362"/>
      <c r="V41" s="3362">
        <f>I41</f>
        <v>0</v>
      </c>
      <c r="W41" s="336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c r="A5" s="348"/>
      <c r="B5" s="349"/>
      <c r="C5" s="3402" t="s">
        <v>1673</v>
      </c>
      <c r="D5" s="3398"/>
      <c r="E5" s="3433" t="s">
        <v>1674</v>
      </c>
      <c r="F5" s="3406"/>
      <c r="G5" s="3402" t="s">
        <v>1675</v>
      </c>
      <c r="H5" s="3398"/>
      <c r="I5" s="3402" t="s">
        <v>1676</v>
      </c>
      <c r="J5" s="3398"/>
      <c r="K5" s="537"/>
      <c r="L5" s="2484"/>
      <c r="M5" s="2485"/>
      <c r="N5" s="2485"/>
      <c r="O5" s="2485"/>
      <c r="P5" s="3385"/>
      <c r="Q5" s="3386"/>
      <c r="R5" s="3391"/>
      <c r="S5" s="3392"/>
      <c r="T5" s="3391"/>
      <c r="U5" s="3392"/>
      <c r="V5" s="3362"/>
      <c r="W5" s="3362"/>
      <c r="X5" s="1265"/>
      <c r="Y5" s="3391"/>
      <c r="Z5" s="3392"/>
      <c r="AA5" s="3377"/>
      <c r="AB5" s="3377"/>
      <c r="AC5" s="3377"/>
    </row>
    <row r="6" spans="1:29" ht="15" thickBot="1">
      <c r="A6" s="350"/>
      <c r="B6" s="351"/>
      <c r="C6" s="3395" t="s">
        <v>1677</v>
      </c>
      <c r="D6" s="3396"/>
      <c r="E6" s="3403" t="s">
        <v>1677</v>
      </c>
      <c r="F6" s="3404"/>
      <c r="G6" s="3395" t="s">
        <v>1677</v>
      </c>
      <c r="H6" s="3396"/>
      <c r="I6" s="3395" t="s">
        <v>1677</v>
      </c>
      <c r="J6" s="3396"/>
      <c r="K6" s="537" t="s">
        <v>1678</v>
      </c>
      <c r="L6" s="2484"/>
      <c r="M6" s="2485"/>
      <c r="N6" s="2485"/>
      <c r="O6" s="2485"/>
      <c r="P6" s="3387"/>
      <c r="Q6" s="3388"/>
      <c r="R6" s="3391"/>
      <c r="S6" s="3392"/>
      <c r="T6" s="3393"/>
      <c r="U6" s="3394"/>
      <c r="V6" s="3362"/>
      <c r="W6" s="3362"/>
      <c r="X6" s="1265"/>
      <c r="Y6" s="3393"/>
      <c r="Z6" s="3394"/>
      <c r="AA6" s="3378"/>
      <c r="AB6" s="3378"/>
      <c r="AC6" s="3378"/>
    </row>
    <row r="7" spans="1:29" s="102" customFormat="1" ht="15" thickBot="1">
      <c r="A7" s="352" t="s">
        <v>1679</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1"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1"/>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361" t="str">
        <f>A37</f>
        <v>成交单价</v>
      </c>
      <c r="Q37" s="3361"/>
      <c r="R37" s="3362">
        <f>E37</f>
        <v>0</v>
      </c>
      <c r="S37" s="3362"/>
      <c r="T37" s="3362">
        <f>G37</f>
        <v>0</v>
      </c>
      <c r="U37" s="3362"/>
      <c r="V37" s="3362">
        <f>I37</f>
        <v>0</v>
      </c>
      <c r="W37" s="336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63" t="str">
        <f>A39</f>
        <v>估价对象XX用房的比较价值（楼面单价，元/平方米）</v>
      </c>
      <c r="Q39" s="3364"/>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受贵公司委托，我公司对北京市通州区半壁店大街4-4号1至2层全部房地产抵押价值进行了预评估。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估价对象为北京市通州区半壁店大街4-4号1至2层全部房地产，为李文恕所有。根据《国有土地使用证》[]，估价对象（分摊）出让国有建设用地使用权面积为0平方米，建筑面积为150.97平方米。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半壁店大街4-4号1至2层全部房地产,属李文恕开发建设的商业项目，该项目尚在开发建设中。根据《国有土地使用证》[]，估价对象（分摊）出让国有建设用地使用权面积为0平方米，规划建筑面积为150.97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半壁店大街4-4号1至2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16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c r="A5" s="348"/>
      <c r="B5" s="349"/>
      <c r="C5" s="3402" t="s">
        <v>1673</v>
      </c>
      <c r="D5" s="3398"/>
      <c r="E5" s="3433" t="s">
        <v>1674</v>
      </c>
      <c r="F5" s="3406"/>
      <c r="G5" s="3402" t="s">
        <v>1675</v>
      </c>
      <c r="H5" s="3398"/>
      <c r="I5" s="3402" t="s">
        <v>1676</v>
      </c>
      <c r="J5" s="3398"/>
      <c r="K5" s="537"/>
      <c r="L5" s="2484"/>
      <c r="M5" s="2485"/>
      <c r="N5" s="2485"/>
      <c r="O5" s="2485"/>
      <c r="P5" s="3385"/>
      <c r="Q5" s="3386"/>
      <c r="R5" s="3391"/>
      <c r="S5" s="3392"/>
      <c r="T5" s="3391"/>
      <c r="U5" s="3392"/>
      <c r="V5" s="3362"/>
      <c r="W5" s="3362"/>
      <c r="X5" s="1265"/>
      <c r="Y5" s="3391"/>
      <c r="Z5" s="3392"/>
      <c r="AA5" s="3377"/>
      <c r="AB5" s="3377"/>
      <c r="AC5" s="3377"/>
    </row>
    <row r="6" spans="1:29" ht="15" thickBot="1">
      <c r="A6" s="350"/>
      <c r="B6" s="351"/>
      <c r="C6" s="3395" t="s">
        <v>1677</v>
      </c>
      <c r="D6" s="3396"/>
      <c r="E6" s="3403" t="s">
        <v>1677</v>
      </c>
      <c r="F6" s="3404"/>
      <c r="G6" s="3395" t="s">
        <v>1677</v>
      </c>
      <c r="H6" s="3396"/>
      <c r="I6" s="3395" t="s">
        <v>1677</v>
      </c>
      <c r="J6" s="3396"/>
      <c r="K6" s="537" t="s">
        <v>1678</v>
      </c>
      <c r="L6" s="2484"/>
      <c r="M6" s="2485"/>
      <c r="N6" s="2485"/>
      <c r="O6" s="2485"/>
      <c r="P6" s="3387"/>
      <c r="Q6" s="3388"/>
      <c r="R6" s="3391"/>
      <c r="S6" s="3392"/>
      <c r="T6" s="3393"/>
      <c r="U6" s="3394"/>
      <c r="V6" s="3362"/>
      <c r="W6" s="3362"/>
      <c r="X6" s="1265"/>
      <c r="Y6" s="3393"/>
      <c r="Z6" s="3394"/>
      <c r="AA6" s="3378"/>
      <c r="AB6" s="3378"/>
      <c r="AC6" s="3378"/>
    </row>
    <row r="7" spans="1:29" s="102" customFormat="1" ht="15" thickBot="1">
      <c r="A7" s="352" t="s">
        <v>1679</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1"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1"/>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1" t="str">
        <f>A35</f>
        <v>成交单价（元/平方米）</v>
      </c>
      <c r="Q35" s="3361"/>
      <c r="R35" s="3362">
        <f>E35</f>
        <v>0</v>
      </c>
      <c r="S35" s="3362"/>
      <c r="T35" s="3362">
        <f>G35</f>
        <v>0</v>
      </c>
      <c r="U35" s="3362"/>
      <c r="V35" s="3362">
        <f>I35</f>
        <v>0</v>
      </c>
      <c r="W35" s="336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63" t="str">
        <f>A37</f>
        <v>估价对象XX用房的比较价值（楼面单价，元/平方米）</v>
      </c>
      <c r="Q37" s="3364"/>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c r="A5" s="348"/>
      <c r="B5" s="349"/>
      <c r="C5" s="3402" t="s">
        <v>1673</v>
      </c>
      <c r="D5" s="3398"/>
      <c r="E5" s="3433" t="s">
        <v>1674</v>
      </c>
      <c r="F5" s="3406"/>
      <c r="G5" s="3402" t="s">
        <v>1675</v>
      </c>
      <c r="H5" s="3398"/>
      <c r="I5" s="3402" t="s">
        <v>1676</v>
      </c>
      <c r="J5" s="3398"/>
      <c r="K5" s="537"/>
      <c r="L5" s="2484"/>
      <c r="M5" s="2485"/>
      <c r="N5" s="2485"/>
      <c r="O5" s="2485"/>
      <c r="P5" s="3385"/>
      <c r="Q5" s="3386"/>
      <c r="R5" s="3391"/>
      <c r="S5" s="3392"/>
      <c r="T5" s="3391"/>
      <c r="U5" s="3392"/>
      <c r="V5" s="3362"/>
      <c r="W5" s="3362"/>
      <c r="X5" s="1265"/>
      <c r="Y5" s="3391"/>
      <c r="Z5" s="3392"/>
      <c r="AA5" s="3377"/>
      <c r="AB5" s="3377"/>
      <c r="AC5" s="3377"/>
    </row>
    <row r="6" spans="1:29" ht="15" thickBot="1">
      <c r="A6" s="350"/>
      <c r="B6" s="351"/>
      <c r="C6" s="3395" t="s">
        <v>1677</v>
      </c>
      <c r="D6" s="3396"/>
      <c r="E6" s="3403" t="s">
        <v>1677</v>
      </c>
      <c r="F6" s="3404"/>
      <c r="G6" s="3395" t="s">
        <v>1677</v>
      </c>
      <c r="H6" s="3396"/>
      <c r="I6" s="3395" t="s">
        <v>1677</v>
      </c>
      <c r="J6" s="3396"/>
      <c r="K6" s="537" t="s">
        <v>1678</v>
      </c>
      <c r="L6" s="2484"/>
      <c r="M6" s="2485"/>
      <c r="N6" s="2485"/>
      <c r="O6" s="2485"/>
      <c r="P6" s="3387"/>
      <c r="Q6" s="3388"/>
      <c r="R6" s="3391"/>
      <c r="S6" s="3392"/>
      <c r="T6" s="3393"/>
      <c r="U6" s="3394"/>
      <c r="V6" s="3362"/>
      <c r="W6" s="3362"/>
      <c r="X6" s="1265"/>
      <c r="Y6" s="3393"/>
      <c r="Z6" s="3394"/>
      <c r="AA6" s="3378"/>
      <c r="AB6" s="3378"/>
      <c r="AC6" s="3378"/>
    </row>
    <row r="7" spans="1:29" s="102" customFormat="1" ht="15" thickBot="1">
      <c r="A7" s="352" t="s">
        <v>1679</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158</v>
      </c>
      <c r="G10" s="402"/>
      <c r="H10" s="119">
        <f>ROUND(100/'数据-取费表'!G16,0)</f>
        <v>158</v>
      </c>
      <c r="I10" s="402"/>
      <c r="J10" s="119">
        <f>ROUND(100/'数据-取费表'!G16,0)</f>
        <v>158</v>
      </c>
      <c r="K10" s="592"/>
      <c r="L10" s="2487"/>
      <c r="M10" s="2488"/>
      <c r="N10" s="2488"/>
      <c r="O10" s="2539"/>
      <c r="P10" s="3361"/>
      <c r="Q10" s="530" t="str">
        <f t="shared" si="6"/>
        <v>土地使用年限（年）</v>
      </c>
      <c r="R10" s="664" t="s">
        <v>14</v>
      </c>
      <c r="S10" s="665">
        <f t="shared" si="0"/>
        <v>158</v>
      </c>
      <c r="T10" s="664" t="s">
        <v>14</v>
      </c>
      <c r="U10" s="665">
        <f t="shared" si="1"/>
        <v>158</v>
      </c>
      <c r="V10" s="664" t="s">
        <v>14</v>
      </c>
      <c r="W10" s="665">
        <f t="shared" si="2"/>
        <v>158</v>
      </c>
      <c r="X10" s="666"/>
      <c r="Y10" s="3265"/>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1"/>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1"/>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1"/>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9"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1" t="str">
        <f>A46</f>
        <v>成交单价</v>
      </c>
      <c r="Q46" s="3361"/>
      <c r="R46" s="3362">
        <f>E46</f>
        <v>0</v>
      </c>
      <c r="S46" s="3362"/>
      <c r="T46" s="3362">
        <f>G46</f>
        <v>0</v>
      </c>
      <c r="U46" s="3362"/>
      <c r="V46" s="3362">
        <f>I46</f>
        <v>0</v>
      </c>
      <c r="W46" s="336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1" t="str">
        <f>A47</f>
        <v>比较价值（元/平方米）</v>
      </c>
      <c r="Q47" s="3361"/>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63" t="str">
        <f>A48</f>
        <v>估价对象XX用房的比较价值（楼面单价，元/平方米）</v>
      </c>
      <c r="Q48" s="3364"/>
      <c r="R48" s="3452" t="e">
        <f>ROUND(IF(D47="简单平均",AVERAGE(R47:W47),R47*F47+T47*H47+V47*J47),0)</f>
        <v>#DIV/0!</v>
      </c>
      <c r="S48" s="3452"/>
      <c r="T48" s="3452"/>
      <c r="U48" s="3452"/>
      <c r="V48" s="3452"/>
      <c r="W48" s="345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9" t="s">
        <v>1887</v>
      </c>
      <c r="H55" s="3453"/>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150.97</v>
      </c>
      <c r="F56" s="833" t="e">
        <f t="shared" ref="F56:F64" si="15">ROUND(B56*E56/10000,0)</f>
        <v>#DIV/0!</v>
      </c>
      <c r="G56" s="3375"/>
      <c r="H56" s="336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150.97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2" t="s">
        <v>1773</v>
      </c>
      <c r="W4" s="3362"/>
      <c r="X4" s="1265"/>
      <c r="Y4" s="3389" t="s">
        <v>1775</v>
      </c>
      <c r="Z4" s="3390"/>
      <c r="AA4" s="3376" t="s">
        <v>1771</v>
      </c>
      <c r="AB4" s="3377" t="s">
        <v>1772</v>
      </c>
      <c r="AC4" s="3376" t="s">
        <v>1773</v>
      </c>
    </row>
    <row r="5" spans="1:29">
      <c r="A5" s="348"/>
      <c r="B5" s="349"/>
      <c r="C5" s="3402" t="s">
        <v>1673</v>
      </c>
      <c r="D5" s="3398"/>
      <c r="E5" s="3433" t="s">
        <v>1674</v>
      </c>
      <c r="F5" s="3406"/>
      <c r="G5" s="3402" t="s">
        <v>1675</v>
      </c>
      <c r="H5" s="3398"/>
      <c r="I5" s="3402" t="s">
        <v>1676</v>
      </c>
      <c r="J5" s="3398"/>
      <c r="K5" s="537"/>
      <c r="L5" s="2484"/>
      <c r="M5" s="2485"/>
      <c r="N5" s="2485"/>
      <c r="O5" s="2485"/>
      <c r="P5" s="3385"/>
      <c r="Q5" s="3386"/>
      <c r="R5" s="3391"/>
      <c r="S5" s="3392"/>
      <c r="T5" s="3391"/>
      <c r="U5" s="3392"/>
      <c r="V5" s="3362"/>
      <c r="W5" s="3362"/>
      <c r="X5" s="1265"/>
      <c r="Y5" s="3391"/>
      <c r="Z5" s="3392"/>
      <c r="AA5" s="3377"/>
      <c r="AB5" s="3377"/>
      <c r="AC5" s="3377"/>
    </row>
    <row r="6" spans="1:29" ht="15" thickBot="1">
      <c r="A6" s="350"/>
      <c r="B6" s="351"/>
      <c r="C6" s="3454" t="s">
        <v>1919</v>
      </c>
      <c r="D6" s="3455"/>
      <c r="E6" s="3456" t="s">
        <v>1919</v>
      </c>
      <c r="F6" s="3457"/>
      <c r="G6" s="3454" t="s">
        <v>1919</v>
      </c>
      <c r="H6" s="3455"/>
      <c r="I6" s="3454" t="s">
        <v>1919</v>
      </c>
      <c r="J6" s="3455"/>
      <c r="K6" s="537" t="s">
        <v>1678</v>
      </c>
      <c r="L6" s="2484"/>
      <c r="M6" s="2485"/>
      <c r="N6" s="2485"/>
      <c r="O6" s="2485"/>
      <c r="P6" s="3387"/>
      <c r="Q6" s="3388"/>
      <c r="R6" s="3391"/>
      <c r="S6" s="3392"/>
      <c r="T6" s="3393"/>
      <c r="U6" s="3394"/>
      <c r="V6" s="3362"/>
      <c r="W6" s="3362"/>
      <c r="X6" s="1265"/>
      <c r="Y6" s="3393"/>
      <c r="Z6" s="3394"/>
      <c r="AA6" s="3378"/>
      <c r="AB6" s="3378"/>
      <c r="AC6" s="3378"/>
    </row>
    <row r="7" spans="1:29" s="102" customFormat="1" ht="15" thickBot="1">
      <c r="A7" s="352" t="s">
        <v>1679</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158</v>
      </c>
      <c r="G10" s="371"/>
      <c r="H10" s="119">
        <f>ROUND(100/'数据-取费表'!G16,0)</f>
        <v>158</v>
      </c>
      <c r="I10" s="371"/>
      <c r="J10" s="119">
        <f>ROUND(100/'数据-取费表'!G16,0)</f>
        <v>158</v>
      </c>
      <c r="K10" s="592"/>
      <c r="L10" s="2487"/>
      <c r="M10" s="2488"/>
      <c r="N10" s="2488"/>
      <c r="O10" s="2539"/>
      <c r="P10" s="3361"/>
      <c r="Q10" s="530" t="str">
        <f t="shared" si="6"/>
        <v>土地使用年限（年）</v>
      </c>
      <c r="R10" s="664" t="s">
        <v>14</v>
      </c>
      <c r="S10" s="665">
        <f t="shared" si="0"/>
        <v>158</v>
      </c>
      <c r="T10" s="664" t="s">
        <v>14</v>
      </c>
      <c r="U10" s="665">
        <f t="shared" si="1"/>
        <v>158</v>
      </c>
      <c r="V10" s="664" t="s">
        <v>14</v>
      </c>
      <c r="W10" s="665">
        <f t="shared" si="2"/>
        <v>158</v>
      </c>
      <c r="X10" s="666"/>
      <c r="Y10" s="3265"/>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1"/>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9"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1" t="str">
        <f>A41</f>
        <v>成交单价</v>
      </c>
      <c r="Q41" s="3361"/>
      <c r="R41" s="3362">
        <f>E41</f>
        <v>0</v>
      </c>
      <c r="S41" s="3362"/>
      <c r="T41" s="3362">
        <f>G41</f>
        <v>0</v>
      </c>
      <c r="U41" s="3362"/>
      <c r="V41" s="3362">
        <f>I41</f>
        <v>0</v>
      </c>
      <c r="W41" s="336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1" t="str">
        <f>A42</f>
        <v>比较价值（元/平方米）</v>
      </c>
      <c r="Q42" s="3361"/>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63" t="str">
        <f>A43</f>
        <v>估价对象XX用房的比较价值（楼面单价，元/平方米）</v>
      </c>
      <c r="Q43" s="3364"/>
      <c r="R43" s="3452" t="e">
        <f>ROUND(IF(D42="简单平均",AVERAGE(R42:W42),R42*F42+T42*H42+V42*J42),0)</f>
        <v>#DIV/0!</v>
      </c>
      <c r="S43" s="3452"/>
      <c r="T43" s="3452"/>
      <c r="U43" s="3452"/>
      <c r="V43" s="3452"/>
      <c r="W43" s="345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9" t="s">
        <v>1887</v>
      </c>
      <c r="H50" s="3453"/>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150.97</v>
      </c>
      <c r="F51" s="611" t="e">
        <f t="shared" ref="F51:F60" si="15">ROUND(B51*E51/10000,0)</f>
        <v>#DIV/0!</v>
      </c>
      <c r="G51" s="3375"/>
      <c r="H51" s="336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150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150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4463D-F02B-42EE-93D8-B1E572E2264E}">
  <sheetPr>
    <tabColor rgb="FF7030A0"/>
  </sheetPr>
  <dimension ref="A1:F24"/>
  <sheetViews>
    <sheetView workbookViewId="0">
      <selection activeCell="C9" sqref="C9"/>
    </sheetView>
  </sheetViews>
  <sheetFormatPr defaultRowHeight="14.4"/>
  <cols>
    <col min="1" max="1" width="14.44140625" customWidth="1"/>
  </cols>
  <sheetData>
    <row r="1" spans="1:6">
      <c r="A1" s="1405" t="s">
        <v>3387</v>
      </c>
    </row>
    <row r="2" spans="1:6">
      <c r="A2" s="1405" t="s">
        <v>3418</v>
      </c>
      <c r="B2" s="1405" t="s">
        <v>3419</v>
      </c>
      <c r="D2" s="1405" t="s">
        <v>3420</v>
      </c>
      <c r="E2" s="1405" t="s">
        <v>3422</v>
      </c>
      <c r="F2" s="1405" t="s">
        <v>3387</v>
      </c>
    </row>
    <row r="3" spans="1:6">
      <c r="A3" s="3162" t="s">
        <v>3423</v>
      </c>
      <c r="B3">
        <v>2</v>
      </c>
      <c r="C3" s="3162" t="s">
        <v>3424</v>
      </c>
      <c r="D3" s="1405" t="s">
        <v>3421</v>
      </c>
      <c r="E3">
        <v>2002</v>
      </c>
      <c r="F3">
        <v>84.48</v>
      </c>
    </row>
    <row r="4" spans="1:6">
      <c r="B4">
        <v>6</v>
      </c>
      <c r="C4">
        <v>1</v>
      </c>
      <c r="D4" s="1405" t="s">
        <v>3421</v>
      </c>
      <c r="F4">
        <v>42.95</v>
      </c>
    </row>
    <row r="5" spans="1:6">
      <c r="B5">
        <v>6</v>
      </c>
      <c r="C5">
        <v>2</v>
      </c>
      <c r="D5" s="1405" t="s">
        <v>3421</v>
      </c>
      <c r="F5">
        <v>23.54</v>
      </c>
    </row>
    <row r="6" spans="1:6">
      <c r="E6" s="1405" t="s">
        <v>2592</v>
      </c>
      <c r="F6">
        <f>SUM(F3:F5)</f>
        <v>150.97</v>
      </c>
    </row>
    <row r="8" spans="1:6">
      <c r="A8" t="s">
        <v>3431</v>
      </c>
      <c r="B8">
        <v>250000</v>
      </c>
      <c r="C8" s="1405" t="s">
        <v>3475</v>
      </c>
    </row>
    <row r="9" spans="1:6">
      <c r="A9" s="1405" t="s">
        <v>3469</v>
      </c>
      <c r="B9">
        <f>ROUND(B8/365/'数据-汇总表'!E19,2)</f>
        <v>4.54</v>
      </c>
    </row>
    <row r="21" spans="2:3" ht="15" thickBot="1">
      <c r="B21" s="3167"/>
      <c r="C21" s="3167"/>
    </row>
    <row r="22" spans="2:3" ht="15" thickBot="1">
      <c r="B22" s="3167"/>
      <c r="C22" s="3167"/>
    </row>
    <row r="23" spans="2:3" ht="15" thickBot="1">
      <c r="B23" s="3167"/>
      <c r="C23" s="3167"/>
    </row>
    <row r="24" spans="2:3" ht="15" thickBot="1">
      <c r="B24" s="3167"/>
      <c r="C24" s="3167"/>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C541-E48D-43E1-AEFA-5773B3ABDAB2}">
  <sheetPr>
    <tabColor rgb="FF7030A0"/>
  </sheetPr>
  <dimension ref="Q3:V11"/>
  <sheetViews>
    <sheetView topLeftCell="A76" workbookViewId="0">
      <selection activeCell="R10" sqref="R10"/>
    </sheetView>
  </sheetViews>
  <sheetFormatPr defaultRowHeight="14.4"/>
  <cols>
    <col min="17" max="17" width="15.77734375" customWidth="1"/>
  </cols>
  <sheetData>
    <row r="3" spans="17:22">
      <c r="R3" s="1405" t="s">
        <v>3387</v>
      </c>
      <c r="S3" s="1405" t="s">
        <v>3464</v>
      </c>
      <c r="T3" s="1405" t="s">
        <v>3388</v>
      </c>
    </row>
    <row r="4" spans="17:22">
      <c r="Q4" s="1405" t="s">
        <v>3460</v>
      </c>
      <c r="R4">
        <v>179.49</v>
      </c>
      <c r="S4" s="1405" t="s">
        <v>3463</v>
      </c>
      <c r="T4">
        <v>30643</v>
      </c>
    </row>
    <row r="5" spans="17:22">
      <c r="Q5" s="1405" t="s">
        <v>3461</v>
      </c>
      <c r="R5">
        <v>117.69</v>
      </c>
      <c r="S5" s="1405" t="s">
        <v>3466</v>
      </c>
      <c r="T5">
        <v>33988</v>
      </c>
      <c r="U5" s="1405" t="s">
        <v>3468</v>
      </c>
    </row>
    <row r="6" spans="17:22">
      <c r="Q6" s="1405" t="s">
        <v>3462</v>
      </c>
      <c r="R6">
        <v>285.95</v>
      </c>
      <c r="S6" s="1405" t="s">
        <v>3467</v>
      </c>
      <c r="T6">
        <v>29027</v>
      </c>
    </row>
    <row r="8" spans="17:22">
      <c r="R8" s="1405" t="s">
        <v>3469</v>
      </c>
    </row>
    <row r="9" spans="17:22">
      <c r="Q9" s="1405" t="s">
        <v>3473</v>
      </c>
      <c r="R9" s="1405">
        <v>3.14</v>
      </c>
      <c r="T9">
        <v>331.78</v>
      </c>
      <c r="U9" s="1405" t="s">
        <v>3463</v>
      </c>
    </row>
    <row r="10" spans="17:22">
      <c r="Q10" s="1405" t="s">
        <v>3461</v>
      </c>
      <c r="R10">
        <f>ROUND(150000/R5/365,2)</f>
        <v>3.49</v>
      </c>
      <c r="S10" s="1405" t="s">
        <v>3470</v>
      </c>
      <c r="T10">
        <f>R5</f>
        <v>117.69</v>
      </c>
      <c r="U10" t="str">
        <f>S5</f>
        <v>1层</v>
      </c>
      <c r="V10" t="str">
        <f>U5</f>
        <v>之前年租金是188000，现在年租金是15万</v>
      </c>
    </row>
    <row r="11" spans="17:22">
      <c r="Q11" s="1405" t="s">
        <v>3474</v>
      </c>
      <c r="R11">
        <v>4</v>
      </c>
      <c r="T11">
        <v>275</v>
      </c>
      <c r="U11" s="1405" t="s">
        <v>3466</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242.41919999999999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16057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1574409</v>
      </c>
      <c r="D5" s="203" t="s">
        <v>1469</v>
      </c>
      <c r="E5" s="204" t="s">
        <v>1470</v>
      </c>
      <c r="F5" s="204" t="s">
        <v>1471</v>
      </c>
      <c r="G5" s="205"/>
    </row>
    <row r="6" spans="1:8" s="206" customFormat="1" ht="13.5" customHeight="1">
      <c r="A6" s="732" t="s">
        <v>1472</v>
      </c>
      <c r="B6" s="207" t="s">
        <v>1473</v>
      </c>
      <c r="C6" s="208">
        <f>ROUND(基准地价修正!T2*基准地价修正!U2+基准地价修正!T3*基准地价修正!U3,0)</f>
        <v>1498510</v>
      </c>
      <c r="D6" s="209"/>
      <c r="E6" s="210"/>
      <c r="F6" s="210"/>
      <c r="G6" s="211"/>
    </row>
    <row r="7" spans="1:8" s="206" customFormat="1" ht="13.5" customHeight="1">
      <c r="A7" s="732" t="s">
        <v>1474</v>
      </c>
      <c r="B7" s="207" t="s">
        <v>1475</v>
      </c>
      <c r="C7" s="212">
        <f>ROUND(C6*F7,0)</f>
        <v>45705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30194</v>
      </c>
      <c r="D8" s="214"/>
      <c r="E8" s="212"/>
      <c r="F8" s="213"/>
      <c r="G8" s="1714" t="s">
        <v>3456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30194</v>
      </c>
      <c r="D10" s="795">
        <f ca="1">IF(B1="",'数据-汇总表'!E6,IF(INDIRECT("'数据-取费表'!c"&amp;$G$1)="住宅",INDIRECT("'数据-取费表'!s"&amp;$G$1),INDIRECT("'数据-取费表'!k"&amp;$G$1)+INDIRECT("'数据-取费表'!s"&amp;$G$1)))</f>
        <v>150.97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150.97</v>
      </c>
      <c r="E19" s="203">
        <f>'数据-取费表'!B31</f>
        <v>200</v>
      </c>
      <c r="F19" s="223"/>
      <c r="G19" s="1714" t="s">
        <v>3457</v>
      </c>
    </row>
    <row r="20" spans="1:7" s="206" customFormat="1" ht="13.5" customHeight="1">
      <c r="A20" s="247" t="s">
        <v>1574</v>
      </c>
      <c r="B20" s="202" t="s">
        <v>1575</v>
      </c>
      <c r="C20" s="224">
        <f ca="1">ROUND((C5+C19)*F20,0)</f>
        <v>31488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47704</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47232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472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160590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160590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1962561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595577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528395</v>
      </c>
      <c r="D34" s="209"/>
      <c r="E34" s="212"/>
      <c r="F34" s="249"/>
      <c r="G34" s="211"/>
    </row>
    <row r="35" spans="1:7" ht="13.5" customHeight="1">
      <c r="A35" s="734" t="s">
        <v>351</v>
      </c>
      <c r="B35" s="207" t="s">
        <v>1527</v>
      </c>
      <c r="C35" s="212">
        <f ca="1">ROUND(C34*F35,0)</f>
        <v>26420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30194</v>
      </c>
      <c r="D37" s="209">
        <f ca="1">D19</f>
        <v>150.97</v>
      </c>
      <c r="E37" s="241">
        <f>'数据-取费表'!B35</f>
        <v>200</v>
      </c>
      <c r="F37" s="251"/>
      <c r="G37" s="253"/>
    </row>
    <row r="38" spans="1:7" ht="13.5" customHeight="1">
      <c r="A38" s="734" t="s">
        <v>354</v>
      </c>
      <c r="B38" s="207" t="s">
        <v>1533</v>
      </c>
      <c r="C38" s="212">
        <f ca="1">ROUND(C34*F38,0)</f>
        <v>10568</v>
      </c>
      <c r="D38" s="212"/>
      <c r="E38" s="212"/>
      <c r="F38" s="251">
        <f>'数据-取费表'!B36</f>
        <v>0.02</v>
      </c>
      <c r="G38" s="211" t="s">
        <v>1528</v>
      </c>
    </row>
    <row r="39" spans="1:7" s="206" customFormat="1" ht="13.5" customHeight="1">
      <c r="A39" s="247" t="s">
        <v>1534</v>
      </c>
      <c r="B39" s="202" t="s">
        <v>1535</v>
      </c>
      <c r="C39" s="224">
        <f ca="1">ROUND(C33*F20,0)</f>
        <v>11912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9113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8934</v>
      </c>
      <c r="D42" s="230"/>
      <c r="E42" s="230"/>
      <c r="F42" s="231"/>
      <c r="G42" s="3358" t="s">
        <v>1591</v>
      </c>
    </row>
    <row r="43" spans="1:7" ht="13.5" customHeight="1">
      <c r="A43" s="734" t="s">
        <v>347</v>
      </c>
      <c r="B43" s="207" t="s">
        <v>1545</v>
      </c>
      <c r="C43" s="230">
        <f ca="1">ROUND(IF('数据-取费表'!B22&lt;=1,C39*F22*'数据-取费表'!B20/2,C39*(POWER((1+F22),'数据-取费表'!B20/2)-1)),0)</f>
        <v>179</v>
      </c>
      <c r="D43" s="230"/>
      <c r="E43" s="230"/>
      <c r="F43" s="231"/>
      <c r="G43" s="3359"/>
    </row>
    <row r="44" spans="1:7" ht="13.5" customHeight="1">
      <c r="A44" s="734" t="s">
        <v>348</v>
      </c>
      <c r="B44" s="207" t="s">
        <v>1546</v>
      </c>
      <c r="C44" s="230">
        <f ca="1">ROUND(IF('数据-取费表'!B22&lt;=1,C40*F22*'数据-取费表'!B20/2,C40*(POWER((1+F22),'数据-取费表'!B20/2)-1)),4)</f>
        <v>2.9999999999999997E-4</v>
      </c>
      <c r="D44" s="230"/>
      <c r="E44" s="230"/>
      <c r="F44" s="231"/>
      <c r="G44" s="3360"/>
    </row>
    <row r="45" spans="1:7" s="206" customFormat="1" ht="13.5" customHeight="1">
      <c r="A45" s="247" t="s">
        <v>1547</v>
      </c>
      <c r="B45" s="236" t="s">
        <v>1513</v>
      </c>
      <c r="C45" s="237">
        <f ca="1">C46</f>
        <v>60749</v>
      </c>
      <c r="D45" s="227">
        <f ca="1">C47</f>
        <v>2E-3</v>
      </c>
      <c r="E45" s="228" t="s">
        <v>1539</v>
      </c>
      <c r="F45" s="238">
        <f ca="1">F27</f>
        <v>0.1</v>
      </c>
      <c r="G45" s="239" t="s">
        <v>1548</v>
      </c>
    </row>
    <row r="46" spans="1:7" s="206" customFormat="1" ht="13.5" customHeight="1">
      <c r="A46" s="734" t="s">
        <v>346</v>
      </c>
      <c r="B46" s="240" t="s">
        <v>1549</v>
      </c>
      <c r="C46" s="241">
        <f ca="1">ROUND((C33+C39)*F27,0)</f>
        <v>60749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732747</v>
      </c>
      <c r="D49" s="224"/>
      <c r="E49" s="224"/>
      <c r="F49" s="256"/>
      <c r="G49" s="226" t="s">
        <v>1554</v>
      </c>
    </row>
    <row r="50" spans="1:7" s="250" customFormat="1">
      <c r="A50" s="247" t="s">
        <v>1555</v>
      </c>
      <c r="B50" s="202" t="s">
        <v>1556</v>
      </c>
      <c r="C50" s="224"/>
      <c r="D50" s="224"/>
      <c r="E50" s="224"/>
      <c r="F50" s="256">
        <f>IF('数据-取费表'!B24=0,'数据-取费表'!N16,1)</f>
        <v>0.63</v>
      </c>
      <c r="G50" s="239"/>
    </row>
    <row r="51" spans="1:7" ht="16.5" customHeight="1">
      <c r="A51" s="247" t="s">
        <v>1558</v>
      </c>
      <c r="B51" s="202" t="s">
        <v>1593</v>
      </c>
      <c r="C51" s="224">
        <f ca="1">ROUND(C49*F50,0)</f>
        <v>461631</v>
      </c>
      <c r="D51" s="224"/>
      <c r="E51" s="224"/>
      <c r="F51" s="256"/>
      <c r="G51" s="226" t="s">
        <v>1560</v>
      </c>
    </row>
    <row r="52" spans="1:7" s="200" customFormat="1" ht="16.8" thickBot="1">
      <c r="A52" s="257" t="s">
        <v>1561</v>
      </c>
      <c r="B52" s="258"/>
      <c r="C52" s="259">
        <f ca="1">C31+C51</f>
        <v>2424192</v>
      </c>
      <c r="D52" s="258"/>
      <c r="E52" s="258"/>
      <c r="F52" s="258"/>
      <c r="G52" s="260"/>
    </row>
    <row r="55" spans="1:7" ht="15">
      <c r="B55" s="262" t="s">
        <v>1562</v>
      </c>
      <c r="C55" s="263"/>
    </row>
    <row r="56" spans="1:7">
      <c r="B56" s="265" t="s">
        <v>802</v>
      </c>
      <c r="C56" s="267">
        <f ca="1">1-C57</f>
        <v>0.81</v>
      </c>
    </row>
    <row r="57" spans="1:7">
      <c r="B57" s="265" t="s">
        <v>803</v>
      </c>
      <c r="C57" s="266">
        <f ca="1">ROUND(C51/C52,3)</f>
        <v>0.19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K1" zoomScaleNormal="80" zoomScaleSheetLayoutView="100" workbookViewId="0">
      <selection activeCell="C52" sqref="C5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150</v>
      </c>
      <c r="C2" s="1846" t="s">
        <v>1935</v>
      </c>
      <c r="D2" s="162" t="s">
        <v>1936</v>
      </c>
      <c r="E2" s="3118"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10935</v>
      </c>
      <c r="U2" s="1130">
        <f>面积明细!F3/2+面积明细!F4</f>
        <v>85.19</v>
      </c>
      <c r="V2" s="3061">
        <f>ROUND(T2*U2/10000,0)</f>
        <v>93</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t="s">
        <v>2439</v>
      </c>
      <c r="F3" s="1848" t="s">
        <v>3437</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8619</v>
      </c>
      <c r="U3" s="1130">
        <f>面积明细!F3/2+面积明细!F5</f>
        <v>65.78</v>
      </c>
      <c r="V3" s="3061">
        <f t="shared" ref="V3:V16" si="1">ROUND(T3*U3/10000,0)</f>
        <v>57</v>
      </c>
      <c r="W3" s="1133"/>
      <c r="X3" s="1133"/>
      <c r="Y3" s="1133"/>
      <c r="Z3" s="1133"/>
      <c r="AA3" s="1133"/>
      <c r="AB3" s="1133"/>
      <c r="AC3" s="1134"/>
      <c r="AD3" s="1135"/>
      <c r="AE3" s="1135"/>
      <c r="AF3" s="1135"/>
      <c r="AG3" s="1135"/>
      <c r="AH3" s="1135"/>
      <c r="AI3" s="1135"/>
      <c r="AJ3" s="1136"/>
    </row>
    <row r="4" spans="1:36" ht="15.6">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7284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10744</v>
      </c>
      <c r="D5" s="1252">
        <f>ROUND(C6*C17+C20,0)</f>
        <v>10744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6425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10780</v>
      </c>
      <c r="D6" s="1861"/>
      <c r="E6" s="1862"/>
      <c r="F6" s="1862"/>
      <c r="G6" s="1863"/>
      <c r="H6" s="1863"/>
      <c r="I6" s="1863"/>
      <c r="J6" s="1864"/>
      <c r="K6" s="1292"/>
      <c r="L6" s="1847" t="s">
        <v>1951</v>
      </c>
      <c r="M6" s="811">
        <f>SUMPRODUCT((区片价!B127:B189=I2)*(区片价!C3:G3=E2)*(区片价!C127:G189))</f>
        <v>10780</v>
      </c>
      <c r="N6" s="813">
        <f>SUMPRODUCT((因素修正幅度!B127:B189=I2)*(因素修正幅度!C3:G3=E2)*(因素修正幅度!C127:G189))</f>
        <v>0.121</v>
      </c>
      <c r="O6" s="1056"/>
      <c r="P6" s="1056"/>
      <c r="Q6" s="1056"/>
      <c r="R6" s="1129">
        <v>5</v>
      </c>
      <c r="S6" s="3061">
        <f>ROUND(SUMPRODUCT((B106:B110=R6)*(C105:N105=G2)*(C106:N110)),4)</f>
        <v>0.84799999999999998</v>
      </c>
      <c r="T6" s="3061">
        <f t="shared" si="0"/>
        <v>6174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0</v>
      </c>
      <c r="AA7" s="1133"/>
      <c r="AB7" s="1133"/>
      <c r="AC7" s="1134"/>
      <c r="AD7" s="1135"/>
      <c r="AE7" s="1135"/>
      <c r="AF7" s="1135"/>
      <c r="AG7" s="1135"/>
      <c r="AH7" s="1135"/>
      <c r="AI7" s="1135"/>
      <c r="AJ7" s="1136"/>
    </row>
    <row r="8" spans="1:36" ht="26.4">
      <c r="A8" s="3007"/>
      <c r="B8" s="162" t="s">
        <v>1957</v>
      </c>
      <c r="C8" s="1870" t="s">
        <v>3438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0"/>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5" t="s">
        <v>3254</v>
      </c>
      <c r="B20" s="159" t="s">
        <v>1994</v>
      </c>
      <c r="C20" s="3029">
        <f>ROUND(IF(F21="与级别开发程度一致",0,(G21-E21)/C21),0)</f>
        <v>-36</v>
      </c>
      <c r="D20" s="3044" t="s">
        <v>1998</v>
      </c>
      <c r="E20" s="3045"/>
      <c r="F20" s="3481" t="s">
        <v>1995</v>
      </c>
      <c r="G20" s="3482"/>
      <c r="H20" s="3030" t="s">
        <v>3440</v>
      </c>
      <c r="I20" s="3030" t="s">
        <v>3441</v>
      </c>
      <c r="J20" s="3031" t="s">
        <v>3442</v>
      </c>
      <c r="K20" s="1889" t="s">
        <v>3443</v>
      </c>
      <c r="L20" s="1889" t="s">
        <v>3444</v>
      </c>
      <c r="M20" s="1889" t="s">
        <v>3445</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6"/>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66" t="s">
        <v>3439</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45839</v>
      </c>
      <c r="H23" s="3046" t="s">
        <v>3255</v>
      </c>
      <c r="I23" s="3047" t="str">
        <f>IF(H23="季度增幅（自定义）",SUMIF(N25:N28,E2,O25:O28),"")</f>
        <v/>
      </c>
      <c r="J23" s="3139" t="s">
        <v>3446</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0.65200000000000002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16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3447</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150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10935</v>
      </c>
      <c r="D33" s="1940"/>
      <c r="E33" s="727">
        <f>ROUND(C33*D33/10000,0)</f>
        <v>0</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9"/>
      <c r="B37" s="1955" t="s">
        <v>2036</v>
      </c>
      <c r="C37" s="167">
        <f>ROUND(D5*C22*C23*C24*C28*F37,0)</f>
        <v>4368</v>
      </c>
      <c r="D37" s="1940"/>
      <c r="E37" s="163">
        <f>ROUND(C37*D37/10000,0)</f>
        <v>0</v>
      </c>
      <c r="F37" s="163">
        <f>SUMIF(修正!A57:A68,G2,修正!B57:B68)</f>
        <v>0.6</v>
      </c>
      <c r="G37" s="163">
        <f>ROUND(IF(E2="工业",C37*$M$42,C37*$M$41),0)</f>
        <v>1092</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0"/>
      <c r="B38" s="1884" t="s">
        <v>2037</v>
      </c>
      <c r="C38" s="167">
        <f>ROUND(D5*C22*C23*C24*C28*F38,0)</f>
        <v>2184</v>
      </c>
      <c r="D38" s="1940"/>
      <c r="E38" s="163">
        <f t="shared" ref="E38:E42" si="4">ROUND(C38*D38/10000,0)</f>
        <v>0</v>
      </c>
      <c r="F38" s="163">
        <f>SUMIF(修正!A57:A68,G2,修正!C57:C68)</f>
        <v>0.3</v>
      </c>
      <c r="G38" s="163">
        <f>ROUND(IF(E2="工业",C38*$M$42,C38*$M$41),0)</f>
        <v>546</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0"/>
      <c r="B39" s="1884" t="s">
        <v>3258</v>
      </c>
      <c r="C39" s="167">
        <f>ROUND(D5*C22*C23*C24*C28*F39,0)</f>
        <v>1820</v>
      </c>
      <c r="D39" s="1940"/>
      <c r="E39" s="163">
        <f t="shared" si="4"/>
        <v>0</v>
      </c>
      <c r="F39" s="163">
        <f>SUMIF(修正!A57:A68,G2,修正!D57:D68)</f>
        <v>0.25</v>
      </c>
      <c r="G39" s="163">
        <f>ROUND(IF(E2="工业",C39*$M$42,C39*$M$41),0)</f>
        <v>455</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1820</v>
      </c>
      <c r="D40" s="1940"/>
      <c r="E40" s="163">
        <f t="shared" si="4"/>
        <v>0</v>
      </c>
      <c r="F40" s="167">
        <f>SUMIF(修正!A57:A68,G2,修正!E57:E68)</f>
        <v>0.25</v>
      </c>
      <c r="G40" s="163">
        <f>ROUND(IF(E2="工业",C40*$M$42,C40*$M$41),0)</f>
        <v>455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1.0241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3455</v>
      </c>
      <c r="D50" s="1002">
        <f t="shared" ref="D50:D58" si="7">SUMIF($J$49:$N$49,C50,J50:N50)</f>
        <v>0</v>
      </c>
      <c r="E50" s="702">
        <f>ROUND(SUM(D50:D58),4)</f>
        <v>2.41E-2</v>
      </c>
      <c r="F50" s="1675">
        <f>IF(E2="商业",SUMIF(L1:L12,G2,N1:N12),"——")</f>
        <v>0.121</v>
      </c>
      <c r="G50" s="1000">
        <v>1.8100000000000002E-2</v>
      </c>
      <c r="H50" s="1003">
        <f t="shared" ref="H50:H58" si="8">IFERROR(ROUNDDOWN($F$50*I50/2,4),"——")</f>
        <v>1.8100000000000002E-2</v>
      </c>
      <c r="I50" s="3066">
        <v>0.3</v>
      </c>
      <c r="J50" s="1001">
        <f t="shared" ref="J50:J58" si="9">K50+$G50</f>
        <v>3.6200000000000003E-2</v>
      </c>
      <c r="K50" s="1001">
        <f t="shared" ref="K50:K58" si="10">$L50+$G50</f>
        <v>1.8100000000000002E-2</v>
      </c>
      <c r="L50" s="1001">
        <v>0</v>
      </c>
      <c r="M50" s="1001">
        <f t="shared" ref="M50:N58" si="11">L50-$G50</f>
        <v>-1.8100000000000002E-2</v>
      </c>
      <c r="N50" s="1001">
        <f t="shared" si="11"/>
        <v>-3.6200000000000003E-2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3452</v>
      </c>
      <c r="D51" s="1002">
        <f t="shared" si="7"/>
        <v>1.3299999999999999E-2</v>
      </c>
      <c r="E51" s="703"/>
      <c r="F51" s="1675"/>
      <c r="G51" s="1000">
        <v>1.3299999999999999E-2</v>
      </c>
      <c r="H51" s="1003">
        <f t="shared" si="8"/>
        <v>1.3299999999999999E-2</v>
      </c>
      <c r="I51" s="3066">
        <v>0.22</v>
      </c>
      <c r="J51" s="1001">
        <f t="shared" si="9"/>
        <v>2.6599999999999999E-2</v>
      </c>
      <c r="K51" s="1001">
        <f t="shared" si="10"/>
        <v>1.3299999999999999E-2</v>
      </c>
      <c r="L51" s="1001">
        <v>0</v>
      </c>
      <c r="M51" s="1001">
        <f t="shared" si="11"/>
        <v>-1.3299999999999999E-2</v>
      </c>
      <c r="N51" s="1001">
        <f t="shared" si="11"/>
        <v>-2.6599999999999999E-2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3455</v>
      </c>
      <c r="D52" s="1002">
        <f t="shared" si="7"/>
        <v>0</v>
      </c>
      <c r="E52" s="703"/>
      <c r="F52" s="1675"/>
      <c r="G52" s="1000">
        <v>7.1999999999999998E-3</v>
      </c>
      <c r="H52" s="1003">
        <f t="shared" si="8"/>
        <v>7.1999999999999998E-3</v>
      </c>
      <c r="I52" s="3066">
        <v>0.12</v>
      </c>
      <c r="J52" s="1001">
        <f t="shared" si="9"/>
        <v>1.44E-2</v>
      </c>
      <c r="K52" s="1001">
        <f t="shared" si="10"/>
        <v>7.1999999999999998E-3</v>
      </c>
      <c r="L52" s="1001">
        <v>0</v>
      </c>
      <c r="M52" s="1001">
        <f t="shared" si="11"/>
        <v>-7.1999999999999998E-3</v>
      </c>
      <c r="N52" s="1001">
        <f t="shared" si="11"/>
        <v>-1.44E-2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3455</v>
      </c>
      <c r="D53" s="1002">
        <f t="shared" si="7"/>
        <v>0</v>
      </c>
      <c r="E53" s="703"/>
      <c r="F53" s="1675"/>
      <c r="G53" s="1000">
        <v>3.0000000000000001E-3</v>
      </c>
      <c r="H53" s="1003">
        <f t="shared" si="8"/>
        <v>3.0000000000000001E-3</v>
      </c>
      <c r="I53" s="3066">
        <v>0.05</v>
      </c>
      <c r="J53" s="1001">
        <f t="shared" si="9"/>
        <v>6.0000000000000001E-3</v>
      </c>
      <c r="K53" s="1001">
        <f t="shared" si="10"/>
        <v>3.0000000000000001E-3</v>
      </c>
      <c r="L53" s="1001">
        <v>0</v>
      </c>
      <c r="M53" s="1001">
        <f t="shared" si="11"/>
        <v>-3.0000000000000001E-3</v>
      </c>
      <c r="N53" s="1001">
        <f t="shared" si="11"/>
        <v>-6.0000000000000001E-3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3453</v>
      </c>
      <c r="D54" s="1002">
        <f t="shared" si="7"/>
        <v>-4.7999999999999996E-3</v>
      </c>
      <c r="E54" s="703"/>
      <c r="F54" s="1675"/>
      <c r="G54" s="1000">
        <v>4.7999999999999996E-3</v>
      </c>
      <c r="H54" s="1003">
        <f t="shared" si="8"/>
        <v>4.7999999999999996E-3</v>
      </c>
      <c r="I54" s="3066">
        <v>0.08</v>
      </c>
      <c r="J54" s="1001">
        <f t="shared" si="9"/>
        <v>9.5999999999999992E-3</v>
      </c>
      <c r="K54" s="1001">
        <f t="shared" si="10"/>
        <v>4.7999999999999996E-3</v>
      </c>
      <c r="L54" s="1001">
        <v>0</v>
      </c>
      <c r="M54" s="1001">
        <f t="shared" si="11"/>
        <v>-4.7999999999999996E-3</v>
      </c>
      <c r="N54" s="1001">
        <f t="shared" si="11"/>
        <v>-9.5999999999999992E-3</v>
      </c>
      <c r="AA54" s="1057"/>
      <c r="AB54" s="1057"/>
      <c r="AC54" s="1057"/>
      <c r="AD54" s="1057"/>
      <c r="AE54" s="1057"/>
      <c r="AF54" s="1057"/>
      <c r="AG54" s="1057"/>
      <c r="AH54" s="1057"/>
      <c r="AI54" s="1057"/>
      <c r="AJ54" s="1057"/>
      <c r="AK54" s="1057"/>
    </row>
    <row r="55" spans="1:37" s="1056" customFormat="1" ht="36">
      <c r="A55" s="1970" t="s">
        <v>2057</v>
      </c>
      <c r="B55" s="1975" t="s">
        <v>2058</v>
      </c>
      <c r="C55" s="1887" t="s">
        <v>3452</v>
      </c>
      <c r="D55" s="1002">
        <f t="shared" si="7"/>
        <v>3.0000000000000001E-3</v>
      </c>
      <c r="E55" s="703"/>
      <c r="F55" s="1675"/>
      <c r="G55" s="1000">
        <v>3.0000000000000001E-3</v>
      </c>
      <c r="H55" s="1003">
        <f t="shared" si="8"/>
        <v>3.0000000000000001E-3</v>
      </c>
      <c r="I55" s="3066">
        <v>0.05</v>
      </c>
      <c r="J55" s="1001">
        <f t="shared" si="9"/>
        <v>6.0000000000000001E-3</v>
      </c>
      <c r="K55" s="1001">
        <f t="shared" si="10"/>
        <v>3.0000000000000001E-3</v>
      </c>
      <c r="L55" s="1001">
        <v>0</v>
      </c>
      <c r="M55" s="1001">
        <f t="shared" si="11"/>
        <v>-3.0000000000000001E-3</v>
      </c>
      <c r="N55" s="1001">
        <f t="shared" si="11"/>
        <v>-6.0000000000000001E-3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3452</v>
      </c>
      <c r="D56" s="1002">
        <f t="shared" si="7"/>
        <v>3.0000000000000001E-3</v>
      </c>
      <c r="E56" s="703"/>
      <c r="F56" s="1675"/>
      <c r="G56" s="1000">
        <v>3.0000000000000001E-3</v>
      </c>
      <c r="H56" s="1003">
        <f t="shared" si="8"/>
        <v>3.0000000000000001E-3</v>
      </c>
      <c r="I56" s="3066">
        <v>0.05</v>
      </c>
      <c r="J56" s="1001">
        <f t="shared" si="9"/>
        <v>6.0000000000000001E-3</v>
      </c>
      <c r="K56" s="1001">
        <f t="shared" si="10"/>
        <v>3.0000000000000001E-3</v>
      </c>
      <c r="L56" s="1001">
        <v>0</v>
      </c>
      <c r="M56" s="1001">
        <f t="shared" si="11"/>
        <v>-3.0000000000000001E-3</v>
      </c>
      <c r="N56" s="1001">
        <f t="shared" si="11"/>
        <v>-6.0000000000000001E-3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3454</v>
      </c>
      <c r="D57" s="1002">
        <f t="shared" si="7"/>
        <v>9.5999999999999992E-3</v>
      </c>
      <c r="E57" s="703"/>
      <c r="F57" s="1675"/>
      <c r="G57" s="1000">
        <v>4.7999999999999996E-3</v>
      </c>
      <c r="H57" s="1003">
        <f t="shared" si="8"/>
        <v>4.7999999999999996E-3</v>
      </c>
      <c r="I57" s="3066">
        <v>0.08</v>
      </c>
      <c r="J57" s="1001">
        <f t="shared" si="9"/>
        <v>9.5999999999999992E-3</v>
      </c>
      <c r="K57" s="1001">
        <f t="shared" si="10"/>
        <v>4.7999999999999996E-3</v>
      </c>
      <c r="L57" s="1001">
        <v>0</v>
      </c>
      <c r="M57" s="1001">
        <f t="shared" si="11"/>
        <v>-4.7999999999999996E-3</v>
      </c>
      <c r="N57" s="1001">
        <f t="shared" si="11"/>
        <v>-9.5999999999999992E-3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3455</v>
      </c>
      <c r="D58" s="1002">
        <f t="shared" si="7"/>
        <v>0</v>
      </c>
      <c r="E58" s="704"/>
      <c r="F58" s="1675"/>
      <c r="G58" s="1000">
        <v>3.0000000000000001E-3</v>
      </c>
      <c r="H58" s="1003">
        <f t="shared" si="8"/>
        <v>3.0000000000000001E-3</v>
      </c>
      <c r="I58" s="3067">
        <v>0.05</v>
      </c>
      <c r="J58" s="1001">
        <f t="shared" si="9"/>
        <v>6.0000000000000001E-3</v>
      </c>
      <c r="K58" s="1001">
        <f t="shared" si="10"/>
        <v>3.0000000000000001E-3</v>
      </c>
      <c r="L58" s="1001">
        <v>0</v>
      </c>
      <c r="M58" s="1001">
        <f t="shared" si="11"/>
        <v>-3.0000000000000001E-3</v>
      </c>
      <c r="N58" s="1001">
        <f t="shared" si="11"/>
        <v>-6.0000000000000001E-3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7" t="s">
        <v>3293</v>
      </c>
      <c r="B103" s="3477"/>
      <c r="C103" s="3477"/>
      <c r="D103" s="3477"/>
      <c r="E103" s="3477"/>
      <c r="F103" s="3477"/>
      <c r="G103" s="3477"/>
      <c r="H103" s="3477"/>
      <c r="I103" s="3477"/>
      <c r="J103" s="3477"/>
      <c r="K103" s="1667"/>
      <c r="L103" s="1667"/>
      <c r="M103" s="1667"/>
      <c r="N103" s="1667"/>
    </row>
    <row r="104" spans="1:14">
      <c r="A104" s="3478" t="s">
        <v>3294</v>
      </c>
      <c r="B104" s="3478" t="s">
        <v>3295</v>
      </c>
      <c r="C104" s="3088" t="s">
        <v>3296</v>
      </c>
      <c r="D104" s="3089"/>
      <c r="E104" s="3089"/>
      <c r="F104" s="3089"/>
      <c r="G104" s="3089"/>
      <c r="H104" s="3089"/>
      <c r="I104" s="3089"/>
      <c r="J104" s="3090"/>
      <c r="K104" s="3091"/>
      <c r="L104" s="3091"/>
      <c r="M104" s="3091"/>
      <c r="N104" s="3091"/>
    </row>
    <row r="105" spans="1:14">
      <c r="A105" s="3478"/>
      <c r="B105" s="3478"/>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4"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5"/>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66"/>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67" t="s">
        <v>3310</v>
      </c>
      <c r="B113" s="3467"/>
      <c r="C113" s="3467"/>
      <c r="D113" s="3467"/>
      <c r="E113" s="3467"/>
      <c r="F113" s="3467"/>
      <c r="G113" s="3467"/>
      <c r="H113" s="3467"/>
      <c r="I113" s="3467"/>
      <c r="J113" s="346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0.94899999999999995</v>
      </c>
      <c r="E116" s="162" t="s">
        <v>3313</v>
      </c>
      <c r="F116" s="3099" t="str">
        <f>E2</f>
        <v>商业</v>
      </c>
      <c r="G116" s="162" t="s">
        <v>3314</v>
      </c>
      <c r="H116" s="3099" t="str">
        <f>G2</f>
        <v>六级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2" t="s">
        <v>2607</v>
      </c>
      <c r="B20" s="3487" t="s">
        <v>2628</v>
      </c>
      <c r="C20" s="2840" t="s">
        <v>2439</v>
      </c>
      <c r="D20" s="2841"/>
      <c r="E20" s="2842">
        <v>1</v>
      </c>
      <c r="F20" s="2843" t="s">
        <v>2440</v>
      </c>
      <c r="G20" s="2843"/>
    </row>
    <row r="21" spans="1:13" ht="19.5" customHeight="1">
      <c r="A21" s="3493"/>
      <c r="B21" s="3486"/>
      <c r="C21" s="2844" t="s">
        <v>2441</v>
      </c>
      <c r="D21" s="2845"/>
      <c r="E21" s="2846">
        <v>1</v>
      </c>
      <c r="F21" s="2843" t="s">
        <v>2442</v>
      </c>
      <c r="G21" s="2843"/>
    </row>
    <row r="22" spans="1:13" ht="19.5" customHeight="1">
      <c r="A22" s="3493"/>
      <c r="B22" s="3486"/>
      <c r="C22" s="2844" t="s">
        <v>2443</v>
      </c>
      <c r="D22" s="2845"/>
      <c r="E22" s="2846">
        <v>0.9</v>
      </c>
      <c r="F22" s="2843" t="s">
        <v>2444</v>
      </c>
      <c r="G22" s="2843"/>
    </row>
    <row r="23" spans="1:13" ht="19.5" customHeight="1">
      <c r="A23" s="3493"/>
      <c r="B23" s="3486"/>
      <c r="C23" s="2844" t="s">
        <v>2445</v>
      </c>
      <c r="D23" s="2845"/>
      <c r="E23" s="2846">
        <v>0.9</v>
      </c>
      <c r="F23" s="2843" t="s">
        <v>2446</v>
      </c>
      <c r="G23" s="2843"/>
    </row>
    <row r="24" spans="1:13" ht="19.5" customHeight="1">
      <c r="A24" s="3493"/>
      <c r="B24" s="3486"/>
      <c r="C24" s="2844" t="s">
        <v>2447</v>
      </c>
      <c r="D24" s="2845"/>
      <c r="E24" s="2846">
        <v>0.8</v>
      </c>
      <c r="F24" s="2843" t="s">
        <v>2448</v>
      </c>
      <c r="G24" s="2843"/>
    </row>
    <row r="25" spans="1:13" ht="19.5" customHeight="1" thickBot="1">
      <c r="A25" s="3494"/>
      <c r="B25" s="3488"/>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9" t="s">
        <v>2631</v>
      </c>
      <c r="B27" s="3487" t="s">
        <v>2612</v>
      </c>
      <c r="C27" s="2840" t="s">
        <v>2452</v>
      </c>
      <c r="D27" s="2841"/>
      <c r="E27" s="2842">
        <v>1</v>
      </c>
      <c r="F27" s="2843" t="s">
        <v>2453</v>
      </c>
      <c r="G27" s="2843"/>
    </row>
    <row r="28" spans="1:13" ht="19.5" customHeight="1">
      <c r="A28" s="3490"/>
      <c r="B28" s="3486"/>
      <c r="C28" s="2844" t="s">
        <v>2454</v>
      </c>
      <c r="D28" s="2845"/>
      <c r="E28" s="2846">
        <v>1</v>
      </c>
      <c r="F28" s="2843" t="s">
        <v>2455</v>
      </c>
      <c r="G28" s="2843"/>
    </row>
    <row r="29" spans="1:13" ht="19.5" customHeight="1">
      <c r="A29" s="3490"/>
      <c r="B29" s="3486"/>
      <c r="C29" s="2844" t="s">
        <v>2456</v>
      </c>
      <c r="D29" s="2845"/>
      <c r="E29" s="2846">
        <v>0.8</v>
      </c>
      <c r="F29" s="2843" t="s">
        <v>2457</v>
      </c>
      <c r="G29" s="2843"/>
    </row>
    <row r="30" spans="1:13" ht="19.5" customHeight="1">
      <c r="A30" s="3490"/>
      <c r="B30" s="3486"/>
      <c r="C30" s="2844" t="s">
        <v>2458</v>
      </c>
      <c r="D30" s="2845"/>
      <c r="E30" s="2846">
        <v>0.8</v>
      </c>
      <c r="F30" s="2843" t="s">
        <v>2459</v>
      </c>
      <c r="G30" s="2843"/>
    </row>
    <row r="31" spans="1:13" ht="19.5" customHeight="1">
      <c r="A31" s="3490"/>
      <c r="B31" s="3486"/>
      <c r="C31" s="2844" t="s">
        <v>2460</v>
      </c>
      <c r="D31" s="2845"/>
      <c r="E31" s="2846">
        <v>0.8</v>
      </c>
      <c r="F31" s="2843" t="s">
        <v>2461</v>
      </c>
      <c r="G31" s="2843"/>
    </row>
    <row r="32" spans="1:13" ht="19.5" customHeight="1">
      <c r="A32" s="3490"/>
      <c r="B32" s="3486"/>
      <c r="C32" s="2844" t="s">
        <v>2462</v>
      </c>
      <c r="D32" s="2845"/>
      <c r="E32" s="2846">
        <v>0.7</v>
      </c>
      <c r="F32" s="2843" t="s">
        <v>2463</v>
      </c>
      <c r="G32" s="2843"/>
    </row>
    <row r="33" spans="1:7" ht="19.5" customHeight="1">
      <c r="A33" s="3490"/>
      <c r="B33" s="3486"/>
      <c r="C33" s="2844" t="s">
        <v>2464</v>
      </c>
      <c r="D33" s="2845"/>
      <c r="E33" s="2846">
        <v>0.8</v>
      </c>
      <c r="F33" s="2843" t="s">
        <v>2465</v>
      </c>
      <c r="G33" s="2843"/>
    </row>
    <row r="34" spans="1:7" ht="19.5" customHeight="1">
      <c r="A34" s="3490"/>
      <c r="B34" s="3486"/>
      <c r="C34" s="2844" t="s">
        <v>2466</v>
      </c>
      <c r="D34" s="2845"/>
      <c r="E34" s="2846">
        <v>0.6</v>
      </c>
      <c r="F34" s="2843" t="s">
        <v>2467</v>
      </c>
      <c r="G34" s="2843"/>
    </row>
    <row r="35" spans="1:7" ht="19.5" customHeight="1">
      <c r="A35" s="3490"/>
      <c r="B35" s="3486"/>
      <c r="C35" s="2844" t="s">
        <v>2468</v>
      </c>
      <c r="D35" s="2845"/>
      <c r="E35" s="2846">
        <v>0.2</v>
      </c>
      <c r="F35" s="2843" t="s">
        <v>2469</v>
      </c>
      <c r="G35" s="2843"/>
    </row>
    <row r="36" spans="1:7" ht="19.5" customHeight="1">
      <c r="A36" s="3490"/>
      <c r="B36" s="3486"/>
      <c r="C36" s="2844" t="s">
        <v>2470</v>
      </c>
      <c r="D36" s="2845"/>
      <c r="E36" s="2846">
        <v>0.2</v>
      </c>
      <c r="F36" s="2843" t="s">
        <v>2471</v>
      </c>
      <c r="G36" s="2843"/>
    </row>
    <row r="37" spans="1:7" ht="19.5" customHeight="1">
      <c r="A37" s="3490"/>
      <c r="B37" s="3484" t="s">
        <v>2632</v>
      </c>
      <c r="C37" s="2844" t="s">
        <v>2472</v>
      </c>
      <c r="D37" s="2845"/>
      <c r="E37" s="2846">
        <v>0.6</v>
      </c>
      <c r="F37" s="2843" t="s">
        <v>2473</v>
      </c>
      <c r="G37" s="2843"/>
    </row>
    <row r="38" spans="1:7" ht="19.5" customHeight="1">
      <c r="A38" s="3490"/>
      <c r="B38" s="3486"/>
      <c r="C38" s="2844" t="s">
        <v>2474</v>
      </c>
      <c r="D38" s="2845"/>
      <c r="E38" s="2846">
        <v>0.6</v>
      </c>
      <c r="F38" s="2843" t="s">
        <v>2475</v>
      </c>
      <c r="G38" s="2843"/>
    </row>
    <row r="39" spans="1:7" ht="19.5" customHeight="1" thickBot="1">
      <c r="A39" s="3491"/>
      <c r="B39" s="3488"/>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92" t="s">
        <v>2610</v>
      </c>
      <c r="B41" s="3487" t="s">
        <v>2634</v>
      </c>
      <c r="C41" s="2840" t="s">
        <v>2479</v>
      </c>
      <c r="D41" s="2841"/>
      <c r="E41" s="2842">
        <v>1</v>
      </c>
      <c r="F41" s="2843" t="s">
        <v>2480</v>
      </c>
      <c r="G41" s="2843"/>
    </row>
    <row r="42" spans="1:7" ht="19.5" customHeight="1">
      <c r="A42" s="3493"/>
      <c r="B42" s="3486"/>
      <c r="C42" s="2844" t="s">
        <v>2481</v>
      </c>
      <c r="D42" s="2845"/>
      <c r="E42" s="2846">
        <v>1</v>
      </c>
      <c r="F42" s="2843" t="s">
        <v>2482</v>
      </c>
      <c r="G42" s="2843"/>
    </row>
    <row r="43" spans="1:7" ht="19.5" customHeight="1">
      <c r="A43" s="3493"/>
      <c r="B43" s="3485"/>
      <c r="C43" s="2844" t="s">
        <v>2483</v>
      </c>
      <c r="D43" s="2845"/>
      <c r="E43" s="2846">
        <v>1.5</v>
      </c>
      <c r="F43" s="2843" t="s">
        <v>2484</v>
      </c>
      <c r="G43" s="2843"/>
    </row>
    <row r="44" spans="1:7" ht="19.5" customHeight="1">
      <c r="A44" s="3493"/>
      <c r="B44" s="2855" t="s">
        <v>2635</v>
      </c>
      <c r="C44" s="2844" t="s">
        <v>2636</v>
      </c>
      <c r="D44" s="2845"/>
      <c r="E44" s="2846">
        <v>2</v>
      </c>
      <c r="F44" s="2843" t="s">
        <v>2485</v>
      </c>
      <c r="G44" s="2843"/>
    </row>
    <row r="45" spans="1:7" ht="19.5" customHeight="1">
      <c r="A45" s="3493"/>
      <c r="B45" s="3484" t="s">
        <v>2637</v>
      </c>
      <c r="C45" s="2844" t="s">
        <v>2486</v>
      </c>
      <c r="D45" s="2845"/>
      <c r="E45" s="2846">
        <v>1</v>
      </c>
      <c r="F45" s="2843" t="s">
        <v>2487</v>
      </c>
      <c r="G45" s="2843"/>
    </row>
    <row r="46" spans="1:7" ht="19.5" customHeight="1">
      <c r="A46" s="3493"/>
      <c r="B46" s="3486"/>
      <c r="C46" s="2844" t="s">
        <v>2488</v>
      </c>
      <c r="D46" s="2845"/>
      <c r="E46" s="2846">
        <v>1</v>
      </c>
      <c r="F46" s="2843" t="s">
        <v>2489</v>
      </c>
      <c r="G46" s="2843"/>
    </row>
    <row r="47" spans="1:7" ht="19.5" customHeight="1">
      <c r="A47" s="3493"/>
      <c r="B47" s="3486"/>
      <c r="C47" s="2844" t="s">
        <v>2490</v>
      </c>
      <c r="D47" s="2845"/>
      <c r="E47" s="2846">
        <v>1</v>
      </c>
      <c r="F47" s="2843" t="s">
        <v>2491</v>
      </c>
      <c r="G47" s="2843"/>
    </row>
    <row r="48" spans="1:7" ht="19.5" customHeight="1">
      <c r="A48" s="3493"/>
      <c r="B48" s="3486"/>
      <c r="C48" s="2844" t="s">
        <v>2492</v>
      </c>
      <c r="D48" s="2845"/>
      <c r="E48" s="2846">
        <v>1</v>
      </c>
      <c r="F48" s="2843" t="s">
        <v>2493</v>
      </c>
      <c r="G48" s="2843"/>
    </row>
    <row r="49" spans="1:7" ht="19.5" customHeight="1">
      <c r="A49" s="3493"/>
      <c r="B49" s="3486"/>
      <c r="C49" s="2844" t="s">
        <v>2494</v>
      </c>
      <c r="D49" s="2845"/>
      <c r="E49" s="2846">
        <v>1</v>
      </c>
      <c r="F49" s="2843" t="s">
        <v>2495</v>
      </c>
      <c r="G49" s="2843"/>
    </row>
    <row r="50" spans="1:7" ht="19.5" customHeight="1">
      <c r="A50" s="3493"/>
      <c r="B50" s="3486"/>
      <c r="C50" s="2844" t="s">
        <v>2496</v>
      </c>
      <c r="D50" s="2845"/>
      <c r="E50" s="2846">
        <v>1</v>
      </c>
      <c r="F50" s="2843" t="s">
        <v>2497</v>
      </c>
      <c r="G50" s="2843"/>
    </row>
    <row r="51" spans="1:7" ht="19.5" customHeight="1" thickBot="1">
      <c r="A51" s="3494"/>
      <c r="B51" s="3488"/>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4" t="s">
        <v>2651</v>
      </c>
      <c r="C73" s="2829" t="s">
        <v>2652</v>
      </c>
      <c r="D73" s="2829" t="s">
        <v>2653</v>
      </c>
      <c r="E73" s="2855">
        <v>0.2</v>
      </c>
      <c r="F73" s="2855">
        <v>25</v>
      </c>
    </row>
    <row r="74" spans="1:7" ht="24">
      <c r="A74" s="2855">
        <v>2</v>
      </c>
      <c r="B74" s="3486"/>
      <c r="C74" s="2829" t="s">
        <v>2654</v>
      </c>
      <c r="D74" s="2829" t="s">
        <v>2655</v>
      </c>
      <c r="E74" s="2855">
        <v>0.2</v>
      </c>
      <c r="F74" s="2855">
        <v>25</v>
      </c>
    </row>
    <row r="75" spans="1:7" ht="24">
      <c r="A75" s="2855">
        <v>3</v>
      </c>
      <c r="B75" s="3486"/>
      <c r="C75" s="2829" t="s">
        <v>2656</v>
      </c>
      <c r="D75" s="2829" t="s">
        <v>2657</v>
      </c>
      <c r="E75" s="2855">
        <v>0.2</v>
      </c>
      <c r="F75" s="2855">
        <v>25</v>
      </c>
    </row>
    <row r="76" spans="1:7" ht="14.4">
      <c r="A76" s="2855">
        <v>4</v>
      </c>
      <c r="B76" s="3486"/>
      <c r="C76" s="2829" t="s">
        <v>2658</v>
      </c>
      <c r="D76" s="2829" t="s">
        <v>2659</v>
      </c>
      <c r="E76" s="2855">
        <v>0.15</v>
      </c>
      <c r="F76" s="2855">
        <v>20</v>
      </c>
    </row>
    <row r="77" spans="1:7" ht="24">
      <c r="A77" s="2855">
        <v>5</v>
      </c>
      <c r="B77" s="3486"/>
      <c r="C77" s="2829" t="s">
        <v>2660</v>
      </c>
      <c r="D77" s="2829" t="s">
        <v>2661</v>
      </c>
      <c r="E77" s="2855">
        <v>0.15</v>
      </c>
      <c r="F77" s="2855">
        <v>20</v>
      </c>
    </row>
    <row r="78" spans="1:7" ht="24">
      <c r="A78" s="2855">
        <v>6</v>
      </c>
      <c r="B78" s="3486"/>
      <c r="C78" s="2829" t="s">
        <v>2662</v>
      </c>
      <c r="D78" s="2829" t="s">
        <v>2663</v>
      </c>
      <c r="E78" s="2855">
        <v>0.15</v>
      </c>
      <c r="F78" s="2855">
        <v>20</v>
      </c>
    </row>
    <row r="79" spans="1:7" ht="24">
      <c r="A79" s="2855">
        <v>7</v>
      </c>
      <c r="B79" s="3486"/>
      <c r="C79" s="2829" t="s">
        <v>2664</v>
      </c>
      <c r="D79" s="2829" t="s">
        <v>2665</v>
      </c>
      <c r="E79" s="2855">
        <v>0.15</v>
      </c>
      <c r="F79" s="2855">
        <v>20</v>
      </c>
    </row>
    <row r="80" spans="1:7" ht="24">
      <c r="A80" s="2855">
        <v>8</v>
      </c>
      <c r="B80" s="3486"/>
      <c r="C80" s="2829" t="s">
        <v>2666</v>
      </c>
      <c r="D80" s="2829" t="s">
        <v>2667</v>
      </c>
      <c r="E80" s="2855">
        <v>0.1</v>
      </c>
      <c r="F80" s="2855">
        <v>15</v>
      </c>
    </row>
    <row r="81" spans="1:6" ht="24">
      <c r="A81" s="2855">
        <v>9</v>
      </c>
      <c r="B81" s="3486"/>
      <c r="C81" s="2829" t="s">
        <v>2668</v>
      </c>
      <c r="D81" s="2829" t="s">
        <v>2669</v>
      </c>
      <c r="E81" s="2855">
        <v>0.1</v>
      </c>
      <c r="F81" s="2855">
        <v>15</v>
      </c>
    </row>
    <row r="82" spans="1:6" ht="24">
      <c r="A82" s="2855">
        <v>10</v>
      </c>
      <c r="B82" s="3486"/>
      <c r="C82" s="2829" t="s">
        <v>2670</v>
      </c>
      <c r="D82" s="2829" t="s">
        <v>2671</v>
      </c>
      <c r="E82" s="2855">
        <v>0.1</v>
      </c>
      <c r="F82" s="2855">
        <v>15</v>
      </c>
    </row>
    <row r="83" spans="1:6" ht="24">
      <c r="A83" s="2855">
        <v>11</v>
      </c>
      <c r="B83" s="3486"/>
      <c r="C83" s="2829" t="s">
        <v>2672</v>
      </c>
      <c r="D83" s="2829" t="s">
        <v>2673</v>
      </c>
      <c r="E83" s="2855">
        <v>0.1</v>
      </c>
      <c r="F83" s="2855">
        <v>15</v>
      </c>
    </row>
    <row r="84" spans="1:6" ht="24">
      <c r="A84" s="2855">
        <v>12</v>
      </c>
      <c r="B84" s="3486"/>
      <c r="C84" s="2829" t="s">
        <v>2674</v>
      </c>
      <c r="D84" s="2829" t="s">
        <v>2675</v>
      </c>
      <c r="E84" s="2855">
        <v>0.1</v>
      </c>
      <c r="F84" s="2855">
        <v>15</v>
      </c>
    </row>
    <row r="85" spans="1:6" ht="24">
      <c r="A85" s="2855">
        <v>13</v>
      </c>
      <c r="B85" s="3486"/>
      <c r="C85" s="2829" t="s">
        <v>2676</v>
      </c>
      <c r="D85" s="2829" t="s">
        <v>2677</v>
      </c>
      <c r="E85" s="2855">
        <v>0.1</v>
      </c>
      <c r="F85" s="2855">
        <v>15</v>
      </c>
    </row>
    <row r="86" spans="1:6" ht="24">
      <c r="A86" s="2855">
        <v>14</v>
      </c>
      <c r="B86" s="3486"/>
      <c r="C86" s="2829" t="s">
        <v>2678</v>
      </c>
      <c r="D86" s="2829" t="s">
        <v>2679</v>
      </c>
      <c r="E86" s="2855">
        <v>0.1</v>
      </c>
      <c r="F86" s="2855">
        <v>15</v>
      </c>
    </row>
    <row r="87" spans="1:6" ht="24">
      <c r="A87" s="2855">
        <v>15</v>
      </c>
      <c r="B87" s="3486"/>
      <c r="C87" s="2829" t="s">
        <v>2680</v>
      </c>
      <c r="D87" s="2829" t="s">
        <v>2681</v>
      </c>
      <c r="E87" s="2855">
        <v>0.1</v>
      </c>
      <c r="F87" s="2855">
        <v>15</v>
      </c>
    </row>
    <row r="88" spans="1:6" ht="24">
      <c r="A88" s="2855">
        <v>16</v>
      </c>
      <c r="B88" s="3486"/>
      <c r="C88" s="2829" t="s">
        <v>2682</v>
      </c>
      <c r="D88" s="2829" t="s">
        <v>2683</v>
      </c>
      <c r="E88" s="2855">
        <v>0.1</v>
      </c>
      <c r="F88" s="2855">
        <v>15</v>
      </c>
    </row>
    <row r="89" spans="1:6" ht="24">
      <c r="A89" s="2855">
        <v>17</v>
      </c>
      <c r="B89" s="3485"/>
      <c r="C89" s="2829" t="s">
        <v>2684</v>
      </c>
      <c r="D89" s="2829" t="s">
        <v>2685</v>
      </c>
      <c r="E89" s="2855">
        <v>0.1</v>
      </c>
      <c r="F89" s="2855">
        <v>15</v>
      </c>
    </row>
    <row r="90" spans="1:6" ht="14.4">
      <c r="A90" s="2855">
        <v>18</v>
      </c>
      <c r="B90" s="3484" t="s">
        <v>2686</v>
      </c>
      <c r="C90" s="2829" t="s">
        <v>2687</v>
      </c>
      <c r="D90" s="2829" t="s">
        <v>2688</v>
      </c>
      <c r="E90" s="2855">
        <v>0.2</v>
      </c>
      <c r="F90" s="2855">
        <v>25</v>
      </c>
    </row>
    <row r="91" spans="1:6" ht="24">
      <c r="A91" s="2855">
        <v>19</v>
      </c>
      <c r="B91" s="3486"/>
      <c r="C91" s="2829" t="s">
        <v>2689</v>
      </c>
      <c r="D91" s="2829" t="s">
        <v>2690</v>
      </c>
      <c r="E91" s="2855">
        <v>0.2</v>
      </c>
      <c r="F91" s="2855">
        <v>25</v>
      </c>
    </row>
    <row r="92" spans="1:6" ht="14.4">
      <c r="A92" s="2855">
        <v>20</v>
      </c>
      <c r="B92" s="3486"/>
      <c r="C92" s="2829" t="s">
        <v>2691</v>
      </c>
      <c r="D92" s="2829" t="s">
        <v>2692</v>
      </c>
      <c r="E92" s="2855">
        <v>0.15</v>
      </c>
      <c r="F92" s="2855">
        <v>20</v>
      </c>
    </row>
    <row r="93" spans="1:6" ht="24">
      <c r="A93" s="2855">
        <v>21</v>
      </c>
      <c r="B93" s="3486"/>
      <c r="C93" s="2829" t="s">
        <v>2693</v>
      </c>
      <c r="D93" s="2829" t="s">
        <v>2694</v>
      </c>
      <c r="E93" s="2855">
        <v>0.15</v>
      </c>
      <c r="F93" s="2855">
        <v>20</v>
      </c>
    </row>
    <row r="94" spans="1:6" ht="24">
      <c r="A94" s="2855">
        <v>22</v>
      </c>
      <c r="B94" s="3486"/>
      <c r="C94" s="2829" t="s">
        <v>2695</v>
      </c>
      <c r="D94" s="2829" t="s">
        <v>2696</v>
      </c>
      <c r="E94" s="2855">
        <v>0.15</v>
      </c>
      <c r="F94" s="2855">
        <v>20</v>
      </c>
    </row>
    <row r="95" spans="1:6" ht="36">
      <c r="A95" s="2855">
        <v>23</v>
      </c>
      <c r="B95" s="3486"/>
      <c r="C95" s="2829" t="s">
        <v>2697</v>
      </c>
      <c r="D95" s="2829" t="s">
        <v>2698</v>
      </c>
      <c r="E95" s="2855">
        <v>0.15</v>
      </c>
      <c r="F95" s="2855">
        <v>20</v>
      </c>
    </row>
    <row r="96" spans="1:6" ht="24">
      <c r="A96" s="2855">
        <v>24</v>
      </c>
      <c r="B96" s="3486"/>
      <c r="C96" s="2829" t="s">
        <v>2699</v>
      </c>
      <c r="D96" s="2829" t="s">
        <v>2700</v>
      </c>
      <c r="E96" s="2855">
        <v>0.1</v>
      </c>
      <c r="F96" s="2855">
        <v>15</v>
      </c>
    </row>
    <row r="97" spans="1:6" ht="24">
      <c r="A97" s="2855">
        <v>25</v>
      </c>
      <c r="B97" s="3486"/>
      <c r="C97" s="2829" t="s">
        <v>2701</v>
      </c>
      <c r="D97" s="2829" t="s">
        <v>2702</v>
      </c>
      <c r="E97" s="2855">
        <v>0.1</v>
      </c>
      <c r="F97" s="2855">
        <v>15</v>
      </c>
    </row>
    <row r="98" spans="1:6" ht="24">
      <c r="A98" s="2855">
        <v>26</v>
      </c>
      <c r="B98" s="3486"/>
      <c r="C98" s="2829" t="s">
        <v>2703</v>
      </c>
      <c r="D98" s="2829" t="s">
        <v>2704</v>
      </c>
      <c r="E98" s="2855">
        <v>0.1</v>
      </c>
      <c r="F98" s="2855">
        <v>15</v>
      </c>
    </row>
    <row r="99" spans="1:6" ht="24">
      <c r="A99" s="2855">
        <v>27</v>
      </c>
      <c r="B99" s="3486"/>
      <c r="C99" s="2829" t="s">
        <v>2705</v>
      </c>
      <c r="D99" s="2829" t="s">
        <v>2706</v>
      </c>
      <c r="E99" s="2855">
        <v>0.1</v>
      </c>
      <c r="F99" s="2855">
        <v>15</v>
      </c>
    </row>
    <row r="100" spans="1:6" ht="24">
      <c r="A100" s="2855">
        <v>28</v>
      </c>
      <c r="B100" s="3486"/>
      <c r="C100" s="2829" t="s">
        <v>2707</v>
      </c>
      <c r="D100" s="2829" t="s">
        <v>2708</v>
      </c>
      <c r="E100" s="2855">
        <v>0.1</v>
      </c>
      <c r="F100" s="2855">
        <v>15</v>
      </c>
    </row>
    <row r="101" spans="1:6" ht="24">
      <c r="A101" s="2855">
        <v>29</v>
      </c>
      <c r="B101" s="3486"/>
      <c r="C101" s="2829" t="s">
        <v>2709</v>
      </c>
      <c r="D101" s="2829" t="s">
        <v>2710</v>
      </c>
      <c r="E101" s="2855">
        <v>0.1</v>
      </c>
      <c r="F101" s="2855">
        <v>15</v>
      </c>
    </row>
    <row r="102" spans="1:6" ht="24">
      <c r="A102" s="2855">
        <v>30</v>
      </c>
      <c r="B102" s="3486"/>
      <c r="C102" s="2829" t="s">
        <v>2711</v>
      </c>
      <c r="D102" s="2829" t="s">
        <v>2712</v>
      </c>
      <c r="E102" s="2855">
        <v>0.1</v>
      </c>
      <c r="F102" s="2855">
        <v>15</v>
      </c>
    </row>
    <row r="103" spans="1:6" ht="24">
      <c r="A103" s="2855">
        <v>31</v>
      </c>
      <c r="B103" s="3486"/>
      <c r="C103" s="2829" t="s">
        <v>2713</v>
      </c>
      <c r="D103" s="2829" t="s">
        <v>2714</v>
      </c>
      <c r="E103" s="2855">
        <v>0.1</v>
      </c>
      <c r="F103" s="2855">
        <v>15</v>
      </c>
    </row>
    <row r="104" spans="1:6" ht="24">
      <c r="A104" s="2855">
        <v>32</v>
      </c>
      <c r="B104" s="3486"/>
      <c r="C104" s="2829" t="s">
        <v>2715</v>
      </c>
      <c r="D104" s="2829" t="s">
        <v>2716</v>
      </c>
      <c r="E104" s="2855">
        <v>0.1</v>
      </c>
      <c r="F104" s="2855">
        <v>15</v>
      </c>
    </row>
    <row r="105" spans="1:6" ht="24">
      <c r="A105" s="2855">
        <v>33</v>
      </c>
      <c r="B105" s="3486"/>
      <c r="C105" s="2829" t="s">
        <v>2717</v>
      </c>
      <c r="D105" s="2829" t="s">
        <v>2718</v>
      </c>
      <c r="E105" s="2855">
        <v>0.1</v>
      </c>
      <c r="F105" s="2855">
        <v>15</v>
      </c>
    </row>
    <row r="106" spans="1:6" ht="24">
      <c r="A106" s="2855">
        <v>34</v>
      </c>
      <c r="B106" s="3485"/>
      <c r="C106" s="2829" t="s">
        <v>2719</v>
      </c>
      <c r="D106" s="2829" t="s">
        <v>2720</v>
      </c>
      <c r="E106" s="2855">
        <v>0.1</v>
      </c>
      <c r="F106" s="2855">
        <v>15</v>
      </c>
    </row>
    <row r="107" spans="1:6" ht="36">
      <c r="A107" s="2855">
        <v>35</v>
      </c>
      <c r="B107" s="3484" t="s">
        <v>2721</v>
      </c>
      <c r="C107" s="2855" t="s">
        <v>2722</v>
      </c>
      <c r="D107" s="2829" t="s">
        <v>2723</v>
      </c>
      <c r="E107" s="2855">
        <v>0.15</v>
      </c>
      <c r="F107" s="2855">
        <v>20</v>
      </c>
    </row>
    <row r="108" spans="1:6" ht="24">
      <c r="A108" s="2855">
        <v>36</v>
      </c>
      <c r="B108" s="3486"/>
      <c r="C108" s="2855" t="s">
        <v>2724</v>
      </c>
      <c r="D108" s="2829" t="s">
        <v>2725</v>
      </c>
      <c r="E108" s="2855">
        <v>0.15</v>
      </c>
      <c r="F108" s="2855">
        <v>20</v>
      </c>
    </row>
    <row r="109" spans="1:6" ht="24">
      <c r="A109" s="2855">
        <v>37</v>
      </c>
      <c r="B109" s="3486"/>
      <c r="C109" s="2855" t="s">
        <v>2726</v>
      </c>
      <c r="D109" s="2829" t="s">
        <v>2727</v>
      </c>
      <c r="E109" s="2855">
        <v>0.15</v>
      </c>
      <c r="F109" s="2855">
        <v>20</v>
      </c>
    </row>
    <row r="110" spans="1:6" ht="24">
      <c r="A110" s="2855">
        <v>38</v>
      </c>
      <c r="B110" s="3486"/>
      <c r="C110" s="2855" t="s">
        <v>2728</v>
      </c>
      <c r="D110" s="2829" t="s">
        <v>2729</v>
      </c>
      <c r="E110" s="2855">
        <v>0.1</v>
      </c>
      <c r="F110" s="2855">
        <v>15</v>
      </c>
    </row>
    <row r="111" spans="1:6" ht="24">
      <c r="A111" s="2855">
        <v>39</v>
      </c>
      <c r="B111" s="3486"/>
      <c r="C111" s="2855" t="s">
        <v>2730</v>
      </c>
      <c r="D111" s="2829" t="s">
        <v>2731</v>
      </c>
      <c r="E111" s="2855">
        <v>0.1</v>
      </c>
      <c r="F111" s="2855">
        <v>15</v>
      </c>
    </row>
    <row r="112" spans="1:6" ht="24">
      <c r="A112" s="2855">
        <v>40</v>
      </c>
      <c r="B112" s="3485"/>
      <c r="C112" s="2855" t="s">
        <v>2732</v>
      </c>
      <c r="D112" s="2829" t="s">
        <v>2733</v>
      </c>
      <c r="E112" s="2855">
        <v>0.1</v>
      </c>
      <c r="F112" s="2855">
        <v>15</v>
      </c>
    </row>
    <row r="113" spans="1:6" ht="24">
      <c r="A113" s="2855">
        <v>41</v>
      </c>
      <c r="B113" s="3483" t="s">
        <v>2734</v>
      </c>
      <c r="C113" s="2855" t="s">
        <v>2735</v>
      </c>
      <c r="D113" s="2829" t="s">
        <v>2736</v>
      </c>
      <c r="E113" s="2855">
        <v>0.1</v>
      </c>
      <c r="F113" s="2855">
        <v>15</v>
      </c>
    </row>
    <row r="114" spans="1:6" ht="24">
      <c r="A114" s="2855">
        <v>42</v>
      </c>
      <c r="B114" s="3483"/>
      <c r="C114" s="2855" t="s">
        <v>2737</v>
      </c>
      <c r="D114" s="2829" t="s">
        <v>2738</v>
      </c>
      <c r="E114" s="2855">
        <v>0.1</v>
      </c>
      <c r="F114" s="2855">
        <v>15</v>
      </c>
    </row>
    <row r="115" spans="1:6" ht="24">
      <c r="A115" s="2855">
        <v>43</v>
      </c>
      <c r="B115" s="3483"/>
      <c r="C115" s="2855" t="s">
        <v>2739</v>
      </c>
      <c r="D115" s="2829" t="s">
        <v>2740</v>
      </c>
      <c r="E115" s="2855">
        <v>0.1</v>
      </c>
      <c r="F115" s="2855">
        <v>15</v>
      </c>
    </row>
    <row r="116" spans="1:6" ht="24">
      <c r="A116" s="2855">
        <v>44</v>
      </c>
      <c r="B116" s="3484" t="s">
        <v>2741</v>
      </c>
      <c r="C116" s="2855" t="s">
        <v>2742</v>
      </c>
      <c r="D116" s="2829" t="s">
        <v>2743</v>
      </c>
      <c r="E116" s="2855">
        <v>0.1</v>
      </c>
      <c r="F116" s="2855">
        <v>15</v>
      </c>
    </row>
    <row r="117" spans="1:6" ht="24">
      <c r="A117" s="2855">
        <v>45</v>
      </c>
      <c r="B117" s="3485"/>
      <c r="C117" s="2829" t="s">
        <v>2744</v>
      </c>
      <c r="D117" s="2829" t="s">
        <v>2745</v>
      </c>
      <c r="E117" s="2855">
        <v>0.1</v>
      </c>
      <c r="F117" s="2855">
        <v>15</v>
      </c>
    </row>
    <row r="118" spans="1:6" ht="24">
      <c r="A118" s="2855">
        <v>46</v>
      </c>
      <c r="B118" s="3484" t="s">
        <v>2746</v>
      </c>
      <c r="C118" s="2855" t="s">
        <v>2747</v>
      </c>
      <c r="D118" s="2829" t="s">
        <v>2748</v>
      </c>
      <c r="E118" s="2855">
        <v>0.1</v>
      </c>
      <c r="F118" s="2855">
        <v>15</v>
      </c>
    </row>
    <row r="119" spans="1:6" ht="24">
      <c r="A119" s="2855">
        <v>47</v>
      </c>
      <c r="B119" s="3485"/>
      <c r="C119" s="2855" t="s">
        <v>2749</v>
      </c>
      <c r="D119" s="2829" t="s">
        <v>2750</v>
      </c>
      <c r="E119" s="2855">
        <v>0.1</v>
      </c>
      <c r="F119" s="2855">
        <v>15</v>
      </c>
    </row>
    <row r="120" spans="1:6" ht="24">
      <c r="A120" s="2855">
        <v>48</v>
      </c>
      <c r="B120" s="3484" t="s">
        <v>2751</v>
      </c>
      <c r="C120" s="2855" t="s">
        <v>2752</v>
      </c>
      <c r="D120" s="2829" t="s">
        <v>2753</v>
      </c>
      <c r="E120" s="2855">
        <v>0.1</v>
      </c>
      <c r="F120" s="2855">
        <v>15</v>
      </c>
    </row>
    <row r="121" spans="1:6" ht="24">
      <c r="A121" s="2855">
        <v>49</v>
      </c>
      <c r="B121" s="3485"/>
      <c r="C121" s="2855" t="s">
        <v>2754</v>
      </c>
      <c r="D121" s="2829" t="s">
        <v>2755</v>
      </c>
      <c r="E121" s="2855">
        <v>0.1</v>
      </c>
      <c r="F121" s="2855">
        <v>15</v>
      </c>
    </row>
    <row r="122" spans="1:6" ht="24">
      <c r="A122" s="2855">
        <v>50</v>
      </c>
      <c r="B122" s="3483" t="s">
        <v>2756</v>
      </c>
      <c r="C122" s="2855" t="s">
        <v>2757</v>
      </c>
      <c r="D122" s="2829" t="s">
        <v>2758</v>
      </c>
      <c r="E122" s="2855">
        <v>0.1</v>
      </c>
      <c r="F122" s="2855">
        <v>15</v>
      </c>
    </row>
    <row r="123" spans="1:6" ht="24">
      <c r="A123" s="2855">
        <v>51</v>
      </c>
      <c r="B123" s="3483"/>
      <c r="C123" s="2855" t="s">
        <v>2759</v>
      </c>
      <c r="D123" s="2829" t="s">
        <v>2760</v>
      </c>
      <c r="E123" s="2855">
        <v>0.1</v>
      </c>
      <c r="F123" s="2855">
        <v>15</v>
      </c>
    </row>
    <row r="124" spans="1:6" ht="24">
      <c r="A124" s="2855">
        <v>52</v>
      </c>
      <c r="B124" s="3483" t="s">
        <v>2761</v>
      </c>
      <c r="C124" s="2855" t="s">
        <v>2762</v>
      </c>
      <c r="D124" s="2829" t="s">
        <v>2763</v>
      </c>
      <c r="E124" s="2855">
        <v>0.1</v>
      </c>
      <c r="F124" s="2855">
        <v>15</v>
      </c>
    </row>
    <row r="125" spans="1:6" ht="24">
      <c r="A125" s="2855">
        <v>53</v>
      </c>
      <c r="B125" s="3483"/>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83" t="s">
        <v>2769</v>
      </c>
      <c r="C127" s="2855" t="s">
        <v>2770</v>
      </c>
      <c r="D127" s="2829" t="s">
        <v>2771</v>
      </c>
      <c r="E127" s="2855">
        <v>0.1</v>
      </c>
      <c r="F127" s="2855">
        <v>15</v>
      </c>
    </row>
    <row r="128" spans="1:6" ht="24">
      <c r="A128" s="2855">
        <v>56</v>
      </c>
      <c r="B128" s="3483"/>
      <c r="C128" s="2855" t="s">
        <v>2772</v>
      </c>
      <c r="D128" s="2829" t="s">
        <v>2773</v>
      </c>
      <c r="E128" s="2855">
        <v>0.1</v>
      </c>
      <c r="F128" s="2855">
        <v>15</v>
      </c>
    </row>
    <row r="129" spans="1:6" ht="24">
      <c r="A129" s="2855">
        <v>57</v>
      </c>
      <c r="B129" s="3483"/>
      <c r="C129" s="2855" t="s">
        <v>2774</v>
      </c>
      <c r="D129" s="2829" t="s">
        <v>2775</v>
      </c>
      <c r="E129" s="2855">
        <v>0.1</v>
      </c>
      <c r="F129" s="2855">
        <v>15</v>
      </c>
    </row>
    <row r="130" spans="1:6" ht="24">
      <c r="A130" s="2855">
        <v>58</v>
      </c>
      <c r="B130" s="3483" t="s">
        <v>2776</v>
      </c>
      <c r="C130" s="2855" t="s">
        <v>2777</v>
      </c>
      <c r="D130" s="2829" t="s">
        <v>2778</v>
      </c>
      <c r="E130" s="2855">
        <v>0.1</v>
      </c>
      <c r="F130" s="2855">
        <v>15</v>
      </c>
    </row>
    <row r="131" spans="1:6" ht="24">
      <c r="A131" s="2855">
        <v>59</v>
      </c>
      <c r="B131" s="3483"/>
      <c r="C131" s="2855" t="s">
        <v>2779</v>
      </c>
      <c r="D131" s="2829" t="s">
        <v>2780</v>
      </c>
      <c r="E131" s="2855">
        <v>0.1</v>
      </c>
      <c r="F131" s="2855">
        <v>15</v>
      </c>
    </row>
    <row r="132" spans="1:6" ht="24">
      <c r="A132" s="2855">
        <v>60</v>
      </c>
      <c r="B132" s="3484" t="s">
        <v>2781</v>
      </c>
      <c r="C132" s="2855" t="s">
        <v>2782</v>
      </c>
      <c r="D132" s="2829" t="s">
        <v>2783</v>
      </c>
      <c r="E132" s="2855">
        <v>0.1</v>
      </c>
      <c r="F132" s="2855">
        <v>15</v>
      </c>
    </row>
    <row r="133" spans="1:6" ht="24">
      <c r="A133" s="2855">
        <v>61</v>
      </c>
      <c r="B133" s="3485"/>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83" t="s">
        <v>2789</v>
      </c>
      <c r="C135" s="2855" t="s">
        <v>2790</v>
      </c>
      <c r="D135" s="2829" t="s">
        <v>2791</v>
      </c>
      <c r="E135" s="2855">
        <v>0.1</v>
      </c>
      <c r="F135" s="2855">
        <v>15</v>
      </c>
    </row>
    <row r="136" spans="1:6" ht="24">
      <c r="A136" s="2855">
        <v>64</v>
      </c>
      <c r="B136" s="3483"/>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354</v>
      </c>
    </row>
    <row r="6" spans="1:5" ht="15.6">
      <c r="B6" s="3178"/>
      <c r="C6" s="1392" t="s">
        <v>911</v>
      </c>
      <c r="D6" s="797" t="str">
        <f ca="1">NUMBERSTRING(INT(D5*10000),2)&amp;"元整"</f>
        <v>叁佰伍拾肆万元整</v>
      </c>
    </row>
    <row r="7" spans="1:5" ht="15.6">
      <c r="B7" s="3183"/>
      <c r="C7" s="1393" t="s">
        <v>912</v>
      </c>
      <c r="D7" s="798">
        <f ca="1">结果表!H102</f>
        <v>23471</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354</v>
      </c>
    </row>
    <row r="14" spans="1:5" ht="15.6">
      <c r="B14" s="3178"/>
      <c r="C14" s="1392" t="s">
        <v>911</v>
      </c>
      <c r="D14" s="797" t="str">
        <f ca="1">NUMBERSTRING(INT(D13*10000),2)&amp;"元整"</f>
        <v>叁佰伍拾肆万元整</v>
      </c>
    </row>
    <row r="15" spans="1:5" ht="15.6">
      <c r="B15" s="3183"/>
      <c r="C15" s="1393" t="s">
        <v>921</v>
      </c>
      <c r="D15" s="806">
        <f ca="1">结果表!H108</f>
        <v>23471</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25742</v>
      </c>
      <c r="C2" s="2" t="s">
        <v>106</v>
      </c>
      <c r="D2" s="191"/>
      <c r="E2" s="191"/>
      <c r="F2" s="191"/>
      <c r="G2" s="191"/>
    </row>
    <row r="3" spans="1:7" s="192" customFormat="1" ht="18" customHeight="1" thickBot="1">
      <c r="A3" s="195" t="s">
        <v>58</v>
      </c>
      <c r="B3" s="196">
        <f ca="1">ROUND(B2*10000/'数据-汇总表'!E3,0)</f>
        <v>1705107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150.97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150.97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624</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25695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150.97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2.9999999999999997E-4</v>
      </c>
      <c r="D44" s="230"/>
      <c r="E44" s="230"/>
      <c r="F44" s="231"/>
      <c r="G44" s="3360"/>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74</v>
      </c>
      <c r="D49" s="224"/>
      <c r="E49" s="224"/>
      <c r="F49" s="256"/>
      <c r="G49" s="226" t="s">
        <v>435</v>
      </c>
    </row>
    <row r="50" spans="1:7" s="250" customFormat="1" ht="24">
      <c r="A50" s="731" t="s">
        <v>344</v>
      </c>
      <c r="B50" s="202" t="s">
        <v>97</v>
      </c>
      <c r="C50" s="224"/>
      <c r="D50" s="224"/>
      <c r="E50" s="224"/>
      <c r="F50" s="256">
        <f>IF('数据-取费表'!B24=0,'数据-取费表'!N16,1)</f>
        <v>0.63</v>
      </c>
      <c r="G50" s="239" t="s">
        <v>98</v>
      </c>
    </row>
    <row r="51" spans="1:7" ht="16.5" customHeight="1">
      <c r="A51" s="731" t="s">
        <v>345</v>
      </c>
      <c r="B51" s="202" t="s">
        <v>105</v>
      </c>
      <c r="C51" s="224">
        <f ca="1">ROUND(C49*F50,0)</f>
        <v>47</v>
      </c>
      <c r="D51" s="224"/>
      <c r="E51" s="224"/>
      <c r="F51" s="256"/>
      <c r="G51" s="226" t="s">
        <v>37</v>
      </c>
    </row>
    <row r="52" spans="1:7" s="200" customFormat="1" ht="16.8" thickBot="1">
      <c r="A52" s="257" t="s">
        <v>38</v>
      </c>
      <c r="B52" s="258"/>
      <c r="C52" s="259">
        <f ca="1">C31+C51</f>
        <v>25742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5" t="s">
        <v>3181</v>
      </c>
      <c r="B1" s="3495"/>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6" t="s">
        <v>3232</v>
      </c>
      <c r="B1" s="3496"/>
      <c r="C1" s="3496"/>
      <c r="D1" s="3496"/>
      <c r="E1" s="3496"/>
      <c r="F1" s="3497"/>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45839</v>
      </c>
      <c r="B1" s="2927" t="s">
        <v>3376</v>
      </c>
      <c r="C1" s="2928"/>
      <c r="D1" s="2928"/>
      <c r="E1" s="2928"/>
      <c r="F1" s="2928"/>
      <c r="G1" s="2928"/>
      <c r="H1" s="2928"/>
      <c r="I1" s="2928"/>
      <c r="J1" s="2894"/>
      <c r="K1" s="2928" t="s">
        <v>454</v>
      </c>
      <c r="L1" s="2928"/>
      <c r="M1" s="2928"/>
      <c r="N1" s="2928"/>
      <c r="O1" s="2928"/>
      <c r="P1" s="2928"/>
      <c r="Q1" s="2894"/>
      <c r="R1" s="3498" t="s">
        <v>456</v>
      </c>
      <c r="S1" s="3499"/>
      <c r="T1" s="3499"/>
      <c r="U1" s="3499"/>
      <c r="V1" s="3499"/>
      <c r="W1" s="3499"/>
      <c r="X1" s="2894"/>
      <c r="Y1" s="3498" t="s">
        <v>457</v>
      </c>
      <c r="Z1" s="3499"/>
      <c r="AA1" s="3499"/>
      <c r="AB1" s="3499"/>
      <c r="AC1" s="3499"/>
      <c r="AD1" s="3499"/>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498" t="s">
        <v>2827</v>
      </c>
      <c r="S29" s="3499"/>
      <c r="T29" s="3499"/>
      <c r="U29" s="3499"/>
      <c r="V29" s="3499"/>
      <c r="W29" s="3499"/>
      <c r="X29" s="2894"/>
      <c r="Y29" s="3498" t="s">
        <v>2828</v>
      </c>
      <c r="Z29" s="3499"/>
      <c r="AA29" s="3499"/>
      <c r="AB29" s="3499"/>
      <c r="AC29" s="3499"/>
      <c r="AD29" s="3499"/>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1" t="s">
        <v>2839</v>
      </c>
      <c r="B1" s="3511"/>
      <c r="C1" s="3511"/>
      <c r="D1" s="3511"/>
      <c r="E1" s="3511"/>
      <c r="F1" s="3511"/>
      <c r="G1" s="3512"/>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9"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0"/>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801" t="s">
        <v>925</v>
      </c>
      <c r="E3" s="801" t="s">
        <v>931</v>
      </c>
      <c r="F3" s="801" t="s">
        <v>925</v>
      </c>
      <c r="G3" s="801" t="s">
        <v>926</v>
      </c>
      <c r="H3" s="801" t="s">
        <v>925</v>
      </c>
      <c r="I3" s="801" t="s">
        <v>926</v>
      </c>
    </row>
    <row r="4" spans="1:9" ht="30">
      <c r="A4" s="1403" t="str">
        <f>项目基本情况!S2</f>
        <v>北京市通州区半壁店大街4-4号1至2层全部房地产</v>
      </c>
      <c r="B4" s="801">
        <f>项目基本情况!C17</f>
        <v>150.97</v>
      </c>
      <c r="C4" s="801">
        <f>项目基本情况!C18</f>
        <v>0</v>
      </c>
      <c r="D4" s="801">
        <f>结果表!D118</f>
        <v>0</v>
      </c>
      <c r="E4" s="801">
        <f>结果表!E118</f>
        <v>0</v>
      </c>
      <c r="F4" s="801">
        <f>结果表!F118</f>
        <v>0</v>
      </c>
      <c r="G4" s="801">
        <f>结果表!G118</f>
        <v>0</v>
      </c>
      <c r="H4" s="801">
        <f ca="1">结果表!H118</f>
        <v>354</v>
      </c>
      <c r="I4" s="801">
        <f ca="1">结果表!I118</f>
        <v>23471</v>
      </c>
    </row>
    <row r="5" spans="1:9" ht="30" customHeight="1">
      <c r="A5" s="3190" t="s">
        <v>927</v>
      </c>
      <c r="B5" s="3190"/>
      <c r="C5" s="3190"/>
      <c r="D5" s="3190" t="str">
        <f>结果表!D119</f>
        <v>零元整</v>
      </c>
      <c r="E5" s="3190"/>
      <c r="F5" s="3190" t="str">
        <f>结果表!F119</f>
        <v>零元整</v>
      </c>
      <c r="G5" s="3190"/>
      <c r="H5" s="3190" t="str">
        <f ca="1">结果表!H119</f>
        <v>叁佰伍拾肆万元整</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f ca="1">结果表!D122</f>
        <v>354</v>
      </c>
      <c r="E8" s="3189"/>
      <c r="F8" s="3189"/>
      <c r="G8" s="3189"/>
      <c r="H8" s="3189"/>
      <c r="I8" s="3189"/>
    </row>
    <row r="9" spans="1:9" ht="15">
      <c r="A9" s="3190" t="s">
        <v>927</v>
      </c>
      <c r="B9" s="3190"/>
      <c r="C9" s="3190"/>
      <c r="D9" s="3190" t="str">
        <f ca="1">结果表!D123</f>
        <v>叁佰伍拾肆万元整</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45839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9"/>
      <c r="E18" s="3215" t="s">
        <v>2162</v>
      </c>
      <c r="F18" s="3214"/>
      <c r="G18" s="3214"/>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面积明细</vt:lpstr>
      <vt:lpstr>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2025-07-01T07:14:06Z</dcterms:modified>
</cp:coreProperties>
</file>