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25" windowWidth="13695" windowHeight="1120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Sheet1" sheetId="68" r:id="rId43"/>
    <sheet name="Sheet3" sheetId="70" r:id="rId44"/>
    <sheet name="Sheet4" sheetId="72"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Toc38621653" localSheetId="12">Sheet2!$C$74</definedName>
    <definedName name="_Toc38621657" localSheetId="12">Sheet2!$I$74</definedName>
    <definedName name="_Toc38621659" localSheetId="12">Sheet2!$C$75</definedName>
    <definedName name="_Toc38621665" localSheetId="12">Sheet2!$C$76</definedName>
    <definedName name="_Toc38621689" localSheetId="12">Sheet2!$C$77</definedName>
    <definedName name="_Toc38621690" localSheetId="12">Sheet2!$D$77</definedName>
    <definedName name="_Toc38621691" localSheetId="12">Sheet2!$E$77</definedName>
    <definedName name="_Toc38621692" localSheetId="12">Sheet2!$F$77</definedName>
    <definedName name="_Toc38621693" localSheetId="12">Sheet2!$G$77</definedName>
    <definedName name="_Toc38621694" localSheetId="12">Sheet2!$H$77</definedName>
    <definedName name="_Toc38621695" localSheetId="12">Sheet2!$I$77</definedName>
    <definedName name="_Toc38621696" localSheetId="12">Sheet2!$J$77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33" i="21" l="1"/>
  <c r="AL13" i="3"/>
  <c r="F98" i="69" l="1"/>
  <c r="H98" i="69"/>
  <c r="E98" i="69"/>
  <c r="F81" i="69"/>
  <c r="G77" i="69"/>
  <c r="H77" i="69"/>
  <c r="I77" i="69"/>
  <c r="J77" i="69"/>
  <c r="K77" i="69"/>
  <c r="F77" i="69"/>
  <c r="AN13" i="3"/>
  <c r="C61" i="69"/>
  <c r="I7" i="6"/>
  <c r="C13" i="39" s="1"/>
  <c r="C40" i="39"/>
  <c r="A3" i="3"/>
  <c r="I47" i="21" l="1"/>
  <c r="G47" i="21"/>
  <c r="E47" i="21"/>
  <c r="I33" i="21"/>
  <c r="G33" i="21"/>
  <c r="E33" i="21"/>
  <c r="I11" i="21"/>
  <c r="G11" i="21"/>
  <c r="E11" i="21"/>
  <c r="I5" i="21"/>
  <c r="G5" i="21"/>
  <c r="E5" i="21"/>
  <c r="C11" i="21" l="1"/>
  <c r="AH13" i="3"/>
  <c r="AD13" i="3"/>
  <c r="C63" i="69"/>
  <c r="E51" i="69"/>
  <c r="F51" i="69"/>
  <c r="G51" i="69"/>
  <c r="I51" i="69"/>
  <c r="D50" i="69"/>
  <c r="H49" i="69"/>
  <c r="H51" i="69" s="1"/>
  <c r="D49" i="69"/>
  <c r="D51" i="69" s="1"/>
  <c r="B42" i="69" l="1"/>
  <c r="E16" i="68"/>
  <c r="E17" i="68" s="1"/>
  <c r="Q73" i="71" l="1"/>
  <c r="Q60" i="71"/>
  <c r="D60" i="71"/>
  <c r="Q59" i="71"/>
  <c r="K59" i="71"/>
  <c r="P75" i="71" s="1"/>
  <c r="Q52" i="71"/>
  <c r="J50" i="71"/>
  <c r="J51" i="71" s="1"/>
  <c r="M47" i="71"/>
  <c r="F33" i="71"/>
  <c r="F60" i="71" s="1"/>
  <c r="F23" i="71"/>
  <c r="D24" i="71" s="1"/>
  <c r="F21" i="71"/>
  <c r="F20" i="71"/>
  <c r="M19" i="71"/>
  <c r="F18" i="71"/>
  <c r="F17" i="71"/>
  <c r="F15" i="71"/>
  <c r="L14" i="1"/>
  <c r="D22" i="71" l="1"/>
  <c r="D23" i="71"/>
  <c r="P62" i="71"/>
  <c r="I40" i="39"/>
  <c r="G40" i="39"/>
  <c r="E40" i="39"/>
  <c r="I9" i="39"/>
  <c r="G9" i="39"/>
  <c r="E9" i="39"/>
  <c r="I7" i="39"/>
  <c r="G7" i="39"/>
  <c r="E7" i="39"/>
  <c r="G24" i="69" l="1"/>
  <c r="G9" i="69"/>
  <c r="G10" i="69"/>
  <c r="G11" i="69"/>
  <c r="G12" i="69"/>
  <c r="G13" i="69"/>
  <c r="G14" i="69"/>
  <c r="G15" i="69"/>
  <c r="G16" i="69"/>
  <c r="G17" i="69"/>
  <c r="G18" i="69"/>
  <c r="G19" i="69"/>
  <c r="G20" i="69"/>
  <c r="G21" i="69"/>
  <c r="G22" i="69"/>
  <c r="G8" i="69"/>
  <c r="G7" i="69"/>
  <c r="G6" i="69"/>
  <c r="C32" i="69"/>
  <c r="G25" i="69" s="1"/>
  <c r="B32" i="69"/>
  <c r="G5" i="69" s="1"/>
  <c r="I25" i="69" l="1"/>
  <c r="G23" i="69"/>
  <c r="F19" i="6"/>
  <c r="G4" i="69"/>
  <c r="G3" i="69" s="1"/>
  <c r="D3" i="68" l="1"/>
  <c r="D4" i="68"/>
  <c r="D2" i="68"/>
  <c r="C5" i="68"/>
  <c r="G2" i="69" l="1"/>
  <c r="C9" i="68"/>
  <c r="AH5" i="59"/>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s="1"/>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H11" i="59"/>
  <c r="AG11" i="59"/>
  <c r="AE11" i="59"/>
  <c r="AF11" i="59" s="1"/>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P14" i="59"/>
  <c r="E14" i="59" s="1"/>
  <c r="O14" i="59"/>
  <c r="N14" i="59"/>
  <c r="N15" i="59"/>
  <c r="Q15" i="59"/>
  <c r="P15" i="59"/>
  <c r="O15" i="59"/>
  <c r="K59" i="15"/>
  <c r="Q74" i="44"/>
  <c r="Q61" i="44"/>
  <c r="Q60" i="44"/>
  <c r="Q53" i="44"/>
  <c r="J51" i="44"/>
  <c r="J52" i="44"/>
  <c r="M48" i="44"/>
  <c r="A16" i="55"/>
  <c r="A15" i="55"/>
  <c r="B66" i="63"/>
  <c r="A10" i="55"/>
  <c r="B61" i="63" s="1"/>
  <c r="A9" i="55"/>
  <c r="B60" i="63" s="1"/>
  <c r="A8" i="55"/>
  <c r="B59" i="63" s="1"/>
  <c r="A6" i="54"/>
  <c r="A8" i="54"/>
  <c r="B53" i="63" s="1"/>
  <c r="A7" i="54"/>
  <c r="B51" i="63" s="1"/>
  <c r="A27" i="51"/>
  <c r="B20" i="63" s="1"/>
  <c r="Q16" i="59"/>
  <c r="O16" i="59"/>
  <c r="N17" i="59"/>
  <c r="O17" i="59"/>
  <c r="P17" i="59"/>
  <c r="Q17" i="59"/>
  <c r="N16" i="59"/>
  <c r="P16" i="59"/>
  <c r="K75" i="9"/>
  <c r="K6" i="4"/>
  <c r="L76" i="9" s="1"/>
  <c r="K76" i="9"/>
  <c r="K77" i="9" s="1"/>
  <c r="K79" i="9" s="1"/>
  <c r="K81" i="9" s="1"/>
  <c r="B22" i="31"/>
  <c r="E16" i="66"/>
  <c r="F16" i="66"/>
  <c r="E17" i="66"/>
  <c r="F17" i="66"/>
  <c r="E18" i="66"/>
  <c r="F18" i="66"/>
  <c r="E19" i="66"/>
  <c r="F19" i="66"/>
  <c r="E20" i="66"/>
  <c r="F20" i="66"/>
  <c r="E21" i="66"/>
  <c r="F21" i="66"/>
  <c r="E22" i="66"/>
  <c r="F22" i="66"/>
  <c r="E23" i="66"/>
  <c r="F23" i="66"/>
  <c r="B3" i="66"/>
  <c r="B14" i="59"/>
  <c r="E13" i="59"/>
  <c r="E12" i="59" s="1"/>
  <c r="E11" i="59" s="1"/>
  <c r="E10" i="59" s="1"/>
  <c r="E9" i="59" s="1"/>
  <c r="E8" i="59" s="1"/>
  <c r="E7" i="59" s="1"/>
  <c r="E6" i="59" s="1"/>
  <c r="E5" i="59" s="1"/>
  <c r="F14" i="59"/>
  <c r="V14" i="59" s="1"/>
  <c r="U14" i="59"/>
  <c r="AD3"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14" i="59"/>
  <c r="C13" i="59" s="1"/>
  <c r="C3" i="65"/>
  <c r="C1" i="65"/>
  <c r="N1" i="65" s="1"/>
  <c r="T14" i="59"/>
  <c r="B76" i="63"/>
  <c r="M5" i="54"/>
  <c r="A23" i="51"/>
  <c r="B17" i="63" s="1"/>
  <c r="Y12" i="46"/>
  <c r="AA9" i="46"/>
  <c r="AA10" i="46" s="1"/>
  <c r="AB9" i="46"/>
  <c r="AB10" i="46" s="1"/>
  <c r="AC9" i="46"/>
  <c r="AD9" i="46"/>
  <c r="AD10" i="46" s="1"/>
  <c r="AE9" i="46"/>
  <c r="AE12" i="46" s="1"/>
  <c r="AF9" i="46"/>
  <c r="AF10" i="46"/>
  <c r="AG9" i="46"/>
  <c r="AH9" i="46"/>
  <c r="AH10" i="46" s="1"/>
  <c r="AI9" i="46"/>
  <c r="AJ9" i="46"/>
  <c r="AJ10" i="46" s="1"/>
  <c r="Z9" i="46"/>
  <c r="Z12" i="46" s="1"/>
  <c r="AG10" i="46"/>
  <c r="Y10" i="46"/>
  <c r="AG12" i="46"/>
  <c r="B73" i="63"/>
  <c r="A21" i="64"/>
  <c r="B75" i="63" s="1"/>
  <c r="A27" i="64"/>
  <c r="A15" i="64"/>
  <c r="A14" i="64"/>
  <c r="A11" i="64"/>
  <c r="A3" i="64"/>
  <c r="A45" i="9"/>
  <c r="K40" i="9" s="1"/>
  <c r="A44" i="9"/>
  <c r="K39" i="9" s="1"/>
  <c r="C57" i="10"/>
  <c r="C56" i="10"/>
  <c r="C55" i="10"/>
  <c r="C54" i="10"/>
  <c r="B49" i="63"/>
  <c r="B44" i="63"/>
  <c r="B40" i="63"/>
  <c r="B30" i="63"/>
  <c r="B27" i="63"/>
  <c r="B25" i="63"/>
  <c r="A11" i="51"/>
  <c r="B10" i="63" s="1"/>
  <c r="A26" i="64"/>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8" i="59"/>
  <c r="P18" i="59"/>
  <c r="E18" i="59" s="1"/>
  <c r="O18" i="59"/>
  <c r="C18" i="59" s="1"/>
  <c r="N18" i="59"/>
  <c r="B18" i="59" s="1"/>
  <c r="D79" i="59"/>
  <c r="F78" i="59"/>
  <c r="F77" i="59" s="1"/>
  <c r="F76" i="59" s="1"/>
  <c r="E78" i="59"/>
  <c r="E77" i="59" s="1"/>
  <c r="E76" i="59" s="1"/>
  <c r="C78" i="59"/>
  <c r="B78" i="59"/>
  <c r="B77" i="59" s="1"/>
  <c r="B76" i="59"/>
  <c r="D75" i="59"/>
  <c r="F74" i="59"/>
  <c r="F73" i="59" s="1"/>
  <c r="F72" i="59" s="1"/>
  <c r="E74" i="59"/>
  <c r="E73" i="59"/>
  <c r="E72" i="59" s="1"/>
  <c r="C74" i="59"/>
  <c r="B74" i="59"/>
  <c r="B73" i="59" s="1"/>
  <c r="B72" i="59" s="1"/>
  <c r="D71" i="59"/>
  <c r="Q70" i="59"/>
  <c r="P70" i="59"/>
  <c r="O70" i="59"/>
  <c r="N70" i="59"/>
  <c r="F70" i="59"/>
  <c r="V70" i="59" s="1"/>
  <c r="E70" i="59"/>
  <c r="U70" i="59" s="1"/>
  <c r="C70" i="59"/>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T66" i="59" s="1"/>
  <c r="B66" i="59"/>
  <c r="Q65" i="59"/>
  <c r="P65" i="59"/>
  <c r="O65" i="59"/>
  <c r="N65" i="59"/>
  <c r="Q64" i="59"/>
  <c r="P64" i="59"/>
  <c r="O64" i="59"/>
  <c r="N64" i="59"/>
  <c r="Q63" i="59"/>
  <c r="P63" i="59"/>
  <c r="O63" i="59"/>
  <c r="N63" i="59"/>
  <c r="D63" i="59"/>
  <c r="Q62" i="59"/>
  <c r="P62" i="59"/>
  <c r="O62" i="59"/>
  <c r="N62" i="59"/>
  <c r="F62" i="59"/>
  <c r="E62" i="59"/>
  <c r="U62" i="59" s="1"/>
  <c r="C62" i="59"/>
  <c r="B62" i="59"/>
  <c r="S62" i="59" s="1"/>
  <c r="Q61" i="59"/>
  <c r="P61" i="59"/>
  <c r="O61" i="59"/>
  <c r="N61" i="59"/>
  <c r="Q60" i="59"/>
  <c r="P60" i="59"/>
  <c r="O60" i="59"/>
  <c r="N60" i="59"/>
  <c r="Q59" i="59"/>
  <c r="P59" i="59"/>
  <c r="O59" i="59"/>
  <c r="N59" i="59"/>
  <c r="D59" i="59"/>
  <c r="F58" i="59"/>
  <c r="V58" i="59" s="1"/>
  <c r="E58" i="59"/>
  <c r="E57" i="59" s="1"/>
  <c r="C58" i="59"/>
  <c r="T58" i="59" s="1"/>
  <c r="B58" i="59"/>
  <c r="N58" i="59" s="1"/>
  <c r="F57" i="59"/>
  <c r="F56" i="59" s="1"/>
  <c r="B57" i="59"/>
  <c r="D55" i="59"/>
  <c r="Q54" i="59"/>
  <c r="P54" i="59"/>
  <c r="O54" i="59"/>
  <c r="N54" i="59"/>
  <c r="Q53" i="59"/>
  <c r="P53" i="59"/>
  <c r="O53" i="59"/>
  <c r="N53" i="59"/>
  <c r="Q52" i="59"/>
  <c r="P52" i="59"/>
  <c r="O52" i="59"/>
  <c r="N52" i="59"/>
  <c r="Q51" i="59"/>
  <c r="F52" i="59"/>
  <c r="P51" i="59"/>
  <c r="E52" i="59" s="1"/>
  <c r="O51" i="59"/>
  <c r="C52" i="59" s="1"/>
  <c r="N51" i="59"/>
  <c r="B52" i="59" s="1"/>
  <c r="D51" i="59"/>
  <c r="Q50" i="59"/>
  <c r="P50" i="59"/>
  <c r="O50" i="59"/>
  <c r="N50" i="59"/>
  <c r="Q49" i="59"/>
  <c r="P49" i="59"/>
  <c r="O49" i="59"/>
  <c r="N49" i="59"/>
  <c r="Q48" i="59"/>
  <c r="P48" i="59"/>
  <c r="O48" i="59"/>
  <c r="N48" i="59"/>
  <c r="Q47" i="59"/>
  <c r="F48"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s="1"/>
  <c r="D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Q30" i="59"/>
  <c r="P30" i="59"/>
  <c r="O30" i="59"/>
  <c r="N30" i="59"/>
  <c r="Q29" i="59"/>
  <c r="AB29" i="59" s="1"/>
  <c r="P29" i="59"/>
  <c r="AA29" i="59" s="1"/>
  <c r="O29" i="59"/>
  <c r="Y29" i="59" s="1"/>
  <c r="Z29" i="59" s="1"/>
  <c r="N29" i="59"/>
  <c r="X29" i="59" s="1"/>
  <c r="Q28" i="59"/>
  <c r="P28" i="59"/>
  <c r="AA28" i="59" s="1"/>
  <c r="O28" i="59"/>
  <c r="Y28" i="59" s="1"/>
  <c r="Z28" i="59" s="1"/>
  <c r="N28" i="59"/>
  <c r="X28" i="59" s="1"/>
  <c r="Q27" i="59"/>
  <c r="P27" i="59"/>
  <c r="O27" i="59"/>
  <c r="C28" i="59" s="1"/>
  <c r="N27" i="59"/>
  <c r="D27" i="59"/>
  <c r="Q26" i="59"/>
  <c r="AB26" i="59" s="1"/>
  <c r="P26" i="59"/>
  <c r="O26" i="59"/>
  <c r="N26" i="59"/>
  <c r="Q25" i="59"/>
  <c r="P25" i="59"/>
  <c r="O25" i="59"/>
  <c r="N25" i="59"/>
  <c r="Q24" i="59"/>
  <c r="P24" i="59"/>
  <c r="O24" i="59"/>
  <c r="N24" i="59"/>
  <c r="Q23" i="59"/>
  <c r="F24" i="59" s="1"/>
  <c r="F25" i="59" s="1"/>
  <c r="F26" i="59" s="1"/>
  <c r="V26" i="59" s="1"/>
  <c r="P23" i="59"/>
  <c r="E24" i="59" s="1"/>
  <c r="E25" i="59" s="1"/>
  <c r="E26" i="59" s="1"/>
  <c r="U26" i="59" s="1"/>
  <c r="O23" i="59"/>
  <c r="N23" i="59"/>
  <c r="D23" i="59"/>
  <c r="Q22" i="59"/>
  <c r="P22" i="59"/>
  <c r="O22" i="59"/>
  <c r="N22" i="59"/>
  <c r="Q21" i="59"/>
  <c r="P21" i="59"/>
  <c r="AA21" i="59" s="1"/>
  <c r="O21" i="59"/>
  <c r="N21" i="59"/>
  <c r="Q20" i="59"/>
  <c r="P20" i="59"/>
  <c r="O20" i="59"/>
  <c r="N20" i="59"/>
  <c r="Q19" i="59"/>
  <c r="F20" i="59" s="1"/>
  <c r="P19" i="59"/>
  <c r="O19" i="59"/>
  <c r="N19" i="59"/>
  <c r="B20" i="59" s="1"/>
  <c r="B21" i="59" s="1"/>
  <c r="B22" i="59" s="1"/>
  <c r="S22" i="59" s="1"/>
  <c r="D19" i="59"/>
  <c r="AB3" i="59"/>
  <c r="AB16" i="59"/>
  <c r="S58" i="59"/>
  <c r="F21" i="59"/>
  <c r="F22" i="59" s="1"/>
  <c r="V22" i="59" s="1"/>
  <c r="F33" i="59"/>
  <c r="F34" i="59" s="1"/>
  <c r="V34" i="59" s="1"/>
  <c r="F37" i="59"/>
  <c r="F38" i="59" s="1"/>
  <c r="V38" i="59" s="1"/>
  <c r="F49" i="59"/>
  <c r="F50" i="59" s="1"/>
  <c r="V50" i="59" s="1"/>
  <c r="F53" i="59"/>
  <c r="F54" i="59" s="1"/>
  <c r="V54" i="59" s="1"/>
  <c r="D44" i="59"/>
  <c r="D52" i="59"/>
  <c r="N57" i="59"/>
  <c r="B56" i="59"/>
  <c r="N56" i="59" s="1"/>
  <c r="Q57" i="59"/>
  <c r="O58" i="59"/>
  <c r="D58" i="59"/>
  <c r="C57" i="59"/>
  <c r="P58" i="59"/>
  <c r="U58" i="59"/>
  <c r="Q58" i="59"/>
  <c r="E61" i="59"/>
  <c r="E60" i="59" s="1"/>
  <c r="C65" i="59"/>
  <c r="D66" i="59"/>
  <c r="E69" i="59"/>
  <c r="E68" i="59" s="1"/>
  <c r="U16" i="4"/>
  <c r="S16" i="4"/>
  <c r="Q16" i="4"/>
  <c r="R16" i="4" s="1"/>
  <c r="O16" i="4"/>
  <c r="M16" i="4"/>
  <c r="N16" i="4" s="1"/>
  <c r="K16" i="4"/>
  <c r="N55"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F21" i="34"/>
  <c r="AA21" i="34" s="1"/>
  <c r="Q21" i="33"/>
  <c r="Z21" i="33" s="1"/>
  <c r="C21" i="33"/>
  <c r="D83" i="33"/>
  <c r="E83" i="33"/>
  <c r="F83" i="33" s="1"/>
  <c r="G83" i="33" s="1"/>
  <c r="Q21" i="21"/>
  <c r="Z21" i="21" s="1"/>
  <c r="D83" i="21"/>
  <c r="E83" i="21" s="1"/>
  <c r="F83" i="21" s="1"/>
  <c r="F21" i="21"/>
  <c r="AA21" i="21" s="1"/>
  <c r="C21" i="21"/>
  <c r="Z27" i="40"/>
  <c r="Q27" i="40"/>
  <c r="D96" i="40"/>
  <c r="E96" i="40" s="1"/>
  <c r="F96" i="40" s="1"/>
  <c r="F27" i="40"/>
  <c r="AA27" i="40" s="1"/>
  <c r="Q31" i="39"/>
  <c r="Z31" i="39" s="1"/>
  <c r="D105" i="39"/>
  <c r="E105" i="39" s="1"/>
  <c r="G20" i="20"/>
  <c r="B85" i="46" s="1"/>
  <c r="C22" i="20"/>
  <c r="B65" i="46" s="1"/>
  <c r="S18" i="36"/>
  <c r="S21" i="37"/>
  <c r="S21" i="34"/>
  <c r="E66" i="36"/>
  <c r="H18" i="35"/>
  <c r="J18" i="35"/>
  <c r="H21" i="37"/>
  <c r="J21" i="37"/>
  <c r="G84" i="34"/>
  <c r="J21" i="34"/>
  <c r="H21" i="34"/>
  <c r="F21" i="33"/>
  <c r="H21" i="33"/>
  <c r="J21" i="33"/>
  <c r="H21" i="21"/>
  <c r="G83" i="21"/>
  <c r="J21" i="21"/>
  <c r="H27" i="40"/>
  <c r="F105" i="39"/>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F13" i="1"/>
  <c r="AP13" i="1" s="1"/>
  <c r="D11" i="1"/>
  <c r="D12" i="1"/>
  <c r="D13" i="1"/>
  <c r="D6" i="1"/>
  <c r="D7" i="1"/>
  <c r="D8" i="1"/>
  <c r="D9" i="1"/>
  <c r="F10" i="1"/>
  <c r="AP10" i="1" s="1"/>
  <c r="D10" i="1"/>
  <c r="B2" i="1"/>
  <c r="C42" i="1" s="1"/>
  <c r="A12" i="1"/>
  <c r="A13" i="1"/>
  <c r="B13" i="1" s="1"/>
  <c r="E13" i="1" s="1"/>
  <c r="A7" i="1"/>
  <c r="B7" i="1" s="1"/>
  <c r="E7" i="1" s="1"/>
  <c r="A8" i="1"/>
  <c r="A9" i="1"/>
  <c r="A10" i="1"/>
  <c r="R10" i="1" s="1"/>
  <c r="A11" i="1"/>
  <c r="A6" i="1"/>
  <c r="G1" i="71" s="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c r="R26" i="31"/>
  <c r="S26" i="31" s="1"/>
  <c r="R27" i="31"/>
  <c r="R28" i="31"/>
  <c r="S28" i="31"/>
  <c r="R29" i="31"/>
  <c r="R30" i="31"/>
  <c r="S30" i="31" s="1"/>
  <c r="R31" i="3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R48" i="31"/>
  <c r="S48" i="31"/>
  <c r="R49" i="31"/>
  <c r="S49" i="31" s="1"/>
  <c r="R50" i="31"/>
  <c r="S50" i="31" s="1"/>
  <c r="R51" i="31"/>
  <c r="R52" i="31"/>
  <c r="S52" i="31" s="1"/>
  <c r="R53" i="31"/>
  <c r="R54" i="31"/>
  <c r="S54" i="31" s="1"/>
  <c r="R55" i="31"/>
  <c r="S55" i="31" s="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s="1"/>
  <c r="R87" i="31"/>
  <c r="S87" i="31" s="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c r="R113" i="31"/>
  <c r="S113" i="31" s="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S145" i="31" s="1"/>
  <c r="R146" i="31"/>
  <c r="S146" i="31" s="1"/>
  <c r="R147" i="31"/>
  <c r="R148" i="31"/>
  <c r="S148" i="31" s="1"/>
  <c r="R149" i="31"/>
  <c r="R150" i="31"/>
  <c r="S150" i="31" s="1"/>
  <c r="R151" i="31"/>
  <c r="S151" i="31" s="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S177" i="31" s="1"/>
  <c r="R178" i="31"/>
  <c r="S178" i="31" s="1"/>
  <c r="R179" i="31"/>
  <c r="R180" i="31"/>
  <c r="S180" i="31" s="1"/>
  <c r="R181" i="31"/>
  <c r="R182" i="31"/>
  <c r="S182" i="31" s="1"/>
  <c r="R183" i="31"/>
  <c r="S183" i="31" s="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c r="R209" i="31"/>
  <c r="S209" i="31" s="1"/>
  <c r="R210" i="31"/>
  <c r="S210" i="31" s="1"/>
  <c r="R211" i="31"/>
  <c r="R212" i="31"/>
  <c r="S212" i="31" s="1"/>
  <c r="R213" i="31"/>
  <c r="R214" i="31"/>
  <c r="S214" i="31" s="1"/>
  <c r="R215" i="31"/>
  <c r="S215" i="31" s="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S453" i="31" s="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S497" i="31" s="1"/>
  <c r="R498" i="31"/>
  <c r="S498" i="31" s="1"/>
  <c r="R499" i="31"/>
  <c r="R500" i="31"/>
  <c r="S500" i="31" s="1"/>
  <c r="R501" i="31"/>
  <c r="R502" i="31"/>
  <c r="S502" i="31" s="1"/>
  <c r="R503" i="31"/>
  <c r="S503" i="31" s="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c r="AP9" i="1" s="1"/>
  <c r="F19" i="4"/>
  <c r="F8" i="1"/>
  <c r="AP8" i="1" s="1"/>
  <c r="E19" i="4"/>
  <c r="F7" i="1"/>
  <c r="AP7" i="1" s="1"/>
  <c r="B2" i="52"/>
  <c r="E14" i="52" s="1"/>
  <c r="I2" i="46"/>
  <c r="N12" i="46" s="1"/>
  <c r="A7" i="46"/>
  <c r="F41" i="4"/>
  <c r="J52" i="40" s="1"/>
  <c r="H61" i="49"/>
  <c r="H39" i="46"/>
  <c r="H38" i="46"/>
  <c r="H37" i="46"/>
  <c r="H36" i="46"/>
  <c r="H35" i="46"/>
  <c r="H34" i="46"/>
  <c r="H33" i="46"/>
  <c r="J20" i="46"/>
  <c r="C18" i="46"/>
  <c r="F15" i="46"/>
  <c r="E15" i="46"/>
  <c r="D15" i="46"/>
  <c r="C15" i="46"/>
  <c r="C10" i="46"/>
  <c r="C11" i="46" s="1"/>
  <c r="E11" i="46" s="1"/>
  <c r="C9" i="46"/>
  <c r="E19" i="6"/>
  <c r="E32" i="6" s="1"/>
  <c r="E20" i="6"/>
  <c r="E21" i="6"/>
  <c r="K8" i="1" s="1"/>
  <c r="M8" i="1" s="1"/>
  <c r="O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4"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F11" i="39"/>
  <c r="AA11" i="39" s="1"/>
  <c r="C25" i="39"/>
  <c r="F36" i="39"/>
  <c r="AA36" i="39" s="1"/>
  <c r="F40" i="39"/>
  <c r="S40" i="39" s="1"/>
  <c r="F42" i="39"/>
  <c r="AA42" i="39" s="1"/>
  <c r="H10" i="39"/>
  <c r="AB10" i="39"/>
  <c r="H11" i="39"/>
  <c r="AB11" i="39" s="1"/>
  <c r="H36" i="39"/>
  <c r="AB36" i="39" s="1"/>
  <c r="H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S38" i="39" s="1"/>
  <c r="J30" i="36"/>
  <c r="H30" i="36"/>
  <c r="U30" i="36" s="1"/>
  <c r="F30" i="36"/>
  <c r="C26" i="35"/>
  <c r="C79" i="35"/>
  <c r="J31" i="35"/>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3" i="39"/>
  <c r="E83" i="39" s="1"/>
  <c r="D78" i="40"/>
  <c r="F13" i="40"/>
  <c r="S13" i="40" s="1"/>
  <c r="B122" i="40"/>
  <c r="F42" i="40" s="1"/>
  <c r="AA42" i="40" s="1"/>
  <c r="B120" i="40"/>
  <c r="B118" i="40"/>
  <c r="F40"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F98" i="40" s="1"/>
  <c r="G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J33" i="39" s="1"/>
  <c r="D99" i="39"/>
  <c r="E99" i="39" s="1"/>
  <c r="F99" i="39" s="1"/>
  <c r="G99" i="39" s="1"/>
  <c r="D97" i="39"/>
  <c r="E97" i="39" s="1"/>
  <c r="D95" i="39"/>
  <c r="E95" i="39"/>
  <c r="F95" i="39" s="1"/>
  <c r="G95" i="39" s="1"/>
  <c r="D93" i="39"/>
  <c r="E93" i="39" s="1"/>
  <c r="F93" i="39" s="1"/>
  <c r="G93" i="39" s="1"/>
  <c r="D91" i="39"/>
  <c r="E91" i="39" s="1"/>
  <c r="F91" i="39" s="1"/>
  <c r="G91" i="39" s="1"/>
  <c r="B88" i="39"/>
  <c r="B86" i="39"/>
  <c r="H15" i="39" s="1"/>
  <c r="B84" i="39"/>
  <c r="H14" i="39" s="1"/>
  <c r="AB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AA30" i="37" s="1"/>
  <c r="Q29" i="37"/>
  <c r="Z29" i="37" s="1"/>
  <c r="H29" i="37"/>
  <c r="U29" i="37" s="1"/>
  <c r="Q28" i="37"/>
  <c r="Z28" i="37" s="1"/>
  <c r="Q27" i="37"/>
  <c r="Z27" i="37" s="1"/>
  <c r="Q26" i="37"/>
  <c r="Z26" i="37" s="1"/>
  <c r="Q25" i="37"/>
  <c r="Z25" i="37" s="1"/>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J26" i="36"/>
  <c r="W26" i="36" s="1"/>
  <c r="B75" i="36"/>
  <c r="B73" i="36"/>
  <c r="H24" i="36" s="1"/>
  <c r="U24" i="36" s="1"/>
  <c r="J24" i="36"/>
  <c r="W24" i="36" s="1"/>
  <c r="B71" i="36"/>
  <c r="D70" i="36"/>
  <c r="H22" i="36"/>
  <c r="U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AB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I46" i="36" s="1"/>
  <c r="J46" i="36" s="1"/>
  <c r="K46" i="36" s="1"/>
  <c r="L46" i="36" s="1"/>
  <c r="M46" i="36" s="1"/>
  <c r="N46" i="36" s="1"/>
  <c r="O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B99" i="35"/>
  <c r="B97" i="35"/>
  <c r="J34" i="35" s="1"/>
  <c r="AC34" i="35" s="1"/>
  <c r="B77" i="35"/>
  <c r="F25" i="35" s="1"/>
  <c r="B75" i="35"/>
  <c r="J24" i="35" s="1"/>
  <c r="AC24" i="35" s="1"/>
  <c r="B73" i="35"/>
  <c r="F23" i="35" s="1"/>
  <c r="B57" i="35"/>
  <c r="B61" i="35"/>
  <c r="B59" i="35"/>
  <c r="H12" i="35" s="1"/>
  <c r="U12" i="35" s="1"/>
  <c r="B131" i="34"/>
  <c r="F47" i="34" s="1"/>
  <c r="B129" i="34"/>
  <c r="B127" i="34"/>
  <c r="B99" i="34"/>
  <c r="F32" i="34" s="1"/>
  <c r="B97" i="34"/>
  <c r="H31" i="34" s="1"/>
  <c r="B95" i="34"/>
  <c r="B93" i="34"/>
  <c r="B75" i="34"/>
  <c r="H14" i="34" s="1"/>
  <c r="B73" i="34"/>
  <c r="J13" i="34" s="1"/>
  <c r="B71" i="34"/>
  <c r="B130" i="33"/>
  <c r="B128" i="33"/>
  <c r="J45" i="33" s="1"/>
  <c r="B126" i="33"/>
  <c r="B98" i="33"/>
  <c r="B96" i="33"/>
  <c r="B94" i="33"/>
  <c r="B74" i="33"/>
  <c r="B72" i="33"/>
  <c r="B70" i="33"/>
  <c r="D96" i="35"/>
  <c r="E96" i="35" s="1"/>
  <c r="F96" i="35" s="1"/>
  <c r="G96" i="35" s="1"/>
  <c r="D94" i="35"/>
  <c r="E94" i="35" s="1"/>
  <c r="F94" i="35" s="1"/>
  <c r="G94" i="35" s="1"/>
  <c r="H94" i="35" s="1"/>
  <c r="I94" i="35" s="1"/>
  <c r="J94" i="35" s="1"/>
  <c r="K94" i="35" s="1"/>
  <c r="L94" i="35" s="1"/>
  <c r="D84" i="35"/>
  <c r="E84" i="35" s="1"/>
  <c r="F84" i="35" s="1"/>
  <c r="G84" i="35" s="1"/>
  <c r="H84" i="35"/>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H34" i="35"/>
  <c r="AB34" i="35" s="1"/>
  <c r="F34" i="35"/>
  <c r="Q33" i="35"/>
  <c r="Z33" i="35" s="1"/>
  <c r="Q32" i="35"/>
  <c r="Z32" i="35" s="1"/>
  <c r="H32" i="35"/>
  <c r="AB32" i="35" s="1"/>
  <c r="F32" i="35"/>
  <c r="AA32" i="35" s="1"/>
  <c r="Q31" i="35"/>
  <c r="Z31" i="35" s="1"/>
  <c r="AB31" i="35"/>
  <c r="AA31" i="35"/>
  <c r="Q30" i="35"/>
  <c r="Z30" i="35" s="1"/>
  <c r="Q29" i="35"/>
  <c r="Z29" i="35"/>
  <c r="Q28" i="35"/>
  <c r="Z28" i="35" s="1"/>
  <c r="J28" i="35"/>
  <c r="H28" i="35"/>
  <c r="F28" i="35"/>
  <c r="Q27" i="35"/>
  <c r="Z27" i="35"/>
  <c r="Q26" i="35"/>
  <c r="Z26" i="35" s="1"/>
  <c r="Q25" i="35"/>
  <c r="Z25" i="35" s="1"/>
  <c r="Q24" i="35"/>
  <c r="Z24" i="35" s="1"/>
  <c r="Q23" i="35"/>
  <c r="Z23" i="35" s="1"/>
  <c r="Q22" i="35"/>
  <c r="Z22" i="35" s="1"/>
  <c r="Q20" i="35"/>
  <c r="Z20" i="35" s="1"/>
  <c r="Q16" i="35"/>
  <c r="Z16" i="35" s="1"/>
  <c r="Q14" i="35"/>
  <c r="Z14" i="35" s="1"/>
  <c r="Q13" i="35"/>
  <c r="Z13" i="35"/>
  <c r="Q12" i="35"/>
  <c r="Z12" i="35" s="1"/>
  <c r="J12" i="35"/>
  <c r="W12" i="35" s="1"/>
  <c r="F12" i="35"/>
  <c r="Q11" i="35"/>
  <c r="Z11" i="35" s="1"/>
  <c r="Q10" i="35"/>
  <c r="Z10" i="35" s="1"/>
  <c r="Q9" i="35"/>
  <c r="Z9" i="35" s="1"/>
  <c r="J9" i="35"/>
  <c r="J8" i="35"/>
  <c r="W8" i="35" s="1"/>
  <c r="H8" i="35"/>
  <c r="U8" i="35" s="1"/>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W39" i="34" s="1"/>
  <c r="H39" i="34"/>
  <c r="U39" i="34" s="1"/>
  <c r="F39" i="34"/>
  <c r="Q38" i="34"/>
  <c r="Z38" i="34" s="1"/>
  <c r="Q37" i="34"/>
  <c r="Z37" i="34" s="1"/>
  <c r="Q36" i="34"/>
  <c r="Z36" i="34" s="1"/>
  <c r="Q35" i="34"/>
  <c r="Z35" i="34" s="1"/>
  <c r="Q34" i="34"/>
  <c r="Z34" i="34" s="1"/>
  <c r="J34" i="34"/>
  <c r="H34" i="34"/>
  <c r="AB34" i="34" s="1"/>
  <c r="F34" i="34"/>
  <c r="AA34" i="34"/>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H27" i="33"/>
  <c r="AB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U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S33" i="33" s="1"/>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F12" i="33"/>
  <c r="S12" i="33" s="1"/>
  <c r="Q11" i="33"/>
  <c r="Z11" i="33"/>
  <c r="Q10" i="33"/>
  <c r="Z10" i="33" s="1"/>
  <c r="Q9" i="33"/>
  <c r="Z9" i="33" s="1"/>
  <c r="J9" i="33"/>
  <c r="AC9" i="33" s="1"/>
  <c r="J8" i="33"/>
  <c r="H8" i="33"/>
  <c r="F8" i="33"/>
  <c r="C7" i="33"/>
  <c r="C58" i="33" s="1"/>
  <c r="D58" i="33" s="1"/>
  <c r="M102" i="21"/>
  <c r="D102" i="21"/>
  <c r="E102" i="21"/>
  <c r="F102" i="21"/>
  <c r="G102" i="21"/>
  <c r="H102" i="21"/>
  <c r="I102" i="21"/>
  <c r="J102" i="21"/>
  <c r="K102" i="21"/>
  <c r="L102" i="21"/>
  <c r="C102" i="21"/>
  <c r="C63" i="21"/>
  <c r="H9" i="21" s="1"/>
  <c r="F9" i="21"/>
  <c r="S9" i="21" s="1"/>
  <c r="G18" i="20"/>
  <c r="B87" i="46" s="1"/>
  <c r="C25" i="40"/>
  <c r="G16" i="20"/>
  <c r="B81" i="46"/>
  <c r="G15" i="20"/>
  <c r="B80" i="46" s="1"/>
  <c r="C24" i="20"/>
  <c r="B72" i="46" s="1"/>
  <c r="C21" i="20"/>
  <c r="C20" i="20"/>
  <c r="B76" i="46" s="1"/>
  <c r="C18" i="20"/>
  <c r="C17" i="20"/>
  <c r="B58" i="46" s="1"/>
  <c r="C16" i="20"/>
  <c r="B47" i="46" s="1"/>
  <c r="C15" i="20"/>
  <c r="B69" i="46"/>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F28" i="21" s="1"/>
  <c r="AA28" i="21" s="1"/>
  <c r="B90" i="21"/>
  <c r="B74" i="21"/>
  <c r="B72" i="21"/>
  <c r="B70" i="21"/>
  <c r="F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M9"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c r="H43" i="21"/>
  <c r="F32" i="21"/>
  <c r="AA32" i="21" s="1"/>
  <c r="F38" i="21"/>
  <c r="S38" i="21"/>
  <c r="F36" i="21"/>
  <c r="F39" i="21"/>
  <c r="AA39" i="21" s="1"/>
  <c r="J40" i="21"/>
  <c r="H35" i="21"/>
  <c r="AB35" i="21" s="1"/>
  <c r="J8" i="21"/>
  <c r="J9" i="21"/>
  <c r="W9" i="21" s="1"/>
  <c r="H8" i="21"/>
  <c r="AB8" i="21" s="1"/>
  <c r="AB9" i="21"/>
  <c r="H10" i="21"/>
  <c r="U10" i="21" s="1"/>
  <c r="H39" i="21"/>
  <c r="AB39" i="21" s="1"/>
  <c r="J34" i="21"/>
  <c r="AC34" i="21" s="1"/>
  <c r="H36" i="21"/>
  <c r="U36" i="21" s="1"/>
  <c r="F35" i="21"/>
  <c r="AA35" i="21" s="1"/>
  <c r="J10" i="21"/>
  <c r="AC10" i="21" s="1"/>
  <c r="H26" i="21"/>
  <c r="F19" i="21"/>
  <c r="AA19" i="21" s="1"/>
  <c r="H19" i="21"/>
  <c r="AB19" i="21" s="1"/>
  <c r="J19" i="21"/>
  <c r="W19" i="21" s="1"/>
  <c r="J12" i="21"/>
  <c r="W12" i="21" s="1"/>
  <c r="H12" i="21"/>
  <c r="J26" i="21"/>
  <c r="W26" i="21" s="1"/>
  <c r="F26" i="21"/>
  <c r="AA26" i="21" s="1"/>
  <c r="AB41" i="21"/>
  <c r="W41" i="21"/>
  <c r="E103" i="37"/>
  <c r="F103" i="37" s="1"/>
  <c r="F39" i="37"/>
  <c r="S39" i="37" s="1"/>
  <c r="F29" i="36"/>
  <c r="AA29" i="36" s="1"/>
  <c r="F16" i="36"/>
  <c r="W23" i="36"/>
  <c r="W22" i="36"/>
  <c r="U26" i="36"/>
  <c r="J33" i="36"/>
  <c r="W33" i="36" s="1"/>
  <c r="AC27" i="35"/>
  <c r="U31" i="35"/>
  <c r="W24" i="35"/>
  <c r="U34" i="35"/>
  <c r="F36" i="34"/>
  <c r="S36" i="34" s="1"/>
  <c r="S34" i="34"/>
  <c r="H39" i="33"/>
  <c r="AB39" i="33" s="1"/>
  <c r="F26" i="33"/>
  <c r="W38" i="33"/>
  <c r="S40" i="33"/>
  <c r="W33" i="33"/>
  <c r="U38" i="33"/>
  <c r="H39" i="37"/>
  <c r="AB39" i="37" s="1"/>
  <c r="AB27" i="35"/>
  <c r="S10" i="40"/>
  <c r="W10" i="40"/>
  <c r="S11" i="40"/>
  <c r="U11" i="40"/>
  <c r="S36" i="40"/>
  <c r="U36" i="40"/>
  <c r="S36" i="39"/>
  <c r="F11" i="21"/>
  <c r="S11" i="21" s="1"/>
  <c r="AA38" i="21"/>
  <c r="AB36" i="21"/>
  <c r="AC35" i="21"/>
  <c r="U36" i="39"/>
  <c r="S42" i="39"/>
  <c r="H32" i="33"/>
  <c r="AB32" i="33" s="1"/>
  <c r="H11" i="21"/>
  <c r="U11" i="21" s="1"/>
  <c r="J11" i="21"/>
  <c r="W11" i="21" s="1"/>
  <c r="F86" i="40"/>
  <c r="G86" i="40" s="1"/>
  <c r="AA12" i="33"/>
  <c r="U9" i="21"/>
  <c r="J27" i="36"/>
  <c r="W27" i="36" s="1"/>
  <c r="J30" i="35"/>
  <c r="W30" i="35" s="1"/>
  <c r="F22" i="35"/>
  <c r="H10" i="35"/>
  <c r="U10" i="35" s="1"/>
  <c r="AC24" i="36"/>
  <c r="E85" i="36"/>
  <c r="F85" i="36"/>
  <c r="G85" i="36" s="1"/>
  <c r="H85" i="36" s="1"/>
  <c r="I85" i="36" s="1"/>
  <c r="J85" i="36" s="1"/>
  <c r="K85" i="36" s="1"/>
  <c r="L85" i="36" s="1"/>
  <c r="M85" i="36" s="1"/>
  <c r="J29" i="36"/>
  <c r="AC29" i="36" s="1"/>
  <c r="F24" i="36"/>
  <c r="AA24" i="36" s="1"/>
  <c r="S10" i="36"/>
  <c r="AB8" i="36"/>
  <c r="H16" i="35"/>
  <c r="U16" i="35" s="1"/>
  <c r="H33" i="35"/>
  <c r="AB33" i="35" s="1"/>
  <c r="AC8" i="35"/>
  <c r="F35" i="37"/>
  <c r="E101" i="37"/>
  <c r="F101" i="37" s="1"/>
  <c r="G101" i="37" s="1"/>
  <c r="H101" i="37" s="1"/>
  <c r="I101" i="37" s="1"/>
  <c r="J101" i="37" s="1"/>
  <c r="K101" i="37" s="1"/>
  <c r="L101" i="37" s="1"/>
  <c r="M101" i="37" s="1"/>
  <c r="J34" i="37"/>
  <c r="W34" i="37" s="1"/>
  <c r="AA39" i="37"/>
  <c r="H43" i="34"/>
  <c r="H36" i="34"/>
  <c r="U36" i="34" s="1"/>
  <c r="F37" i="34"/>
  <c r="AA37" i="34" s="1"/>
  <c r="F33" i="34"/>
  <c r="S33" i="34" s="1"/>
  <c r="F19" i="34"/>
  <c r="AA19" i="34" s="1"/>
  <c r="J10" i="34"/>
  <c r="AC10" i="34" s="1"/>
  <c r="W8" i="34"/>
  <c r="J28" i="34"/>
  <c r="W28" i="34" s="1"/>
  <c r="S38" i="33"/>
  <c r="E113" i="33"/>
  <c r="F36" i="33"/>
  <c r="S36" i="33" s="1"/>
  <c r="F19" i="33"/>
  <c r="S19" i="33" s="1"/>
  <c r="J19" i="33"/>
  <c r="W40" i="33"/>
  <c r="G125" i="21"/>
  <c r="AB30" i="36"/>
  <c r="H29" i="35"/>
  <c r="U34" i="37"/>
  <c r="S34" i="37"/>
  <c r="AA34" i="37"/>
  <c r="AB42" i="34"/>
  <c r="AB40" i="34"/>
  <c r="W36" i="34"/>
  <c r="J19" i="34"/>
  <c r="AC19" i="34" s="1"/>
  <c r="F113" i="33"/>
  <c r="G113" i="33" s="1"/>
  <c r="H113" i="33" s="1"/>
  <c r="I113" i="33" s="1"/>
  <c r="J113" i="33" s="1"/>
  <c r="K113" i="33" s="1"/>
  <c r="L113" i="33" s="1"/>
  <c r="M113" i="33" s="1"/>
  <c r="H37" i="33"/>
  <c r="AB37" i="33"/>
  <c r="AC42" i="34"/>
  <c r="W42" i="34"/>
  <c r="AA42" i="34"/>
  <c r="S42" i="34"/>
  <c r="S38" i="34"/>
  <c r="J37" i="33"/>
  <c r="J42" i="21"/>
  <c r="AC42" i="21" s="1"/>
  <c r="J44" i="34"/>
  <c r="AC44" i="34" s="1"/>
  <c r="F44" i="34"/>
  <c r="S44" i="34" s="1"/>
  <c r="J10" i="35"/>
  <c r="W10" i="35" s="1"/>
  <c r="AL5" i="3"/>
  <c r="BQ13" i="3"/>
  <c r="H28" i="21"/>
  <c r="AB28" i="21"/>
  <c r="J28" i="21"/>
  <c r="AC28" i="21" s="1"/>
  <c r="H44" i="21"/>
  <c r="H26" i="33"/>
  <c r="U26" i="33"/>
  <c r="H28" i="33"/>
  <c r="F28" i="33"/>
  <c r="AA28" i="33" s="1"/>
  <c r="J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J13" i="21"/>
  <c r="W13" i="21" s="1"/>
  <c r="H27" i="21"/>
  <c r="AB27" i="21" s="1"/>
  <c r="J27" i="21"/>
  <c r="W27" i="21" s="1"/>
  <c r="F27" i="21"/>
  <c r="AA27" i="21" s="1"/>
  <c r="J31" i="21"/>
  <c r="AC31" i="21" s="1"/>
  <c r="H31" i="21"/>
  <c r="U31" i="21"/>
  <c r="F31" i="21"/>
  <c r="J27" i="33"/>
  <c r="AC27" i="33" s="1"/>
  <c r="S27" i="33"/>
  <c r="F13" i="33"/>
  <c r="S13" i="33" s="1"/>
  <c r="J31" i="33"/>
  <c r="AC31" i="33" s="1"/>
  <c r="F11" i="35"/>
  <c r="H28" i="36"/>
  <c r="H32" i="36"/>
  <c r="AB32" i="36" s="1"/>
  <c r="J32" i="36"/>
  <c r="J11" i="36"/>
  <c r="W11" i="36" s="1"/>
  <c r="E89" i="37"/>
  <c r="F89" i="37" s="1"/>
  <c r="G89" i="37" s="1"/>
  <c r="H89" i="37" s="1"/>
  <c r="I89" i="37" s="1"/>
  <c r="J89" i="37" s="1"/>
  <c r="K89" i="37" s="1"/>
  <c r="L89" i="37" s="1"/>
  <c r="M89" i="37" s="1"/>
  <c r="J29" i="37"/>
  <c r="W29" i="37" s="1"/>
  <c r="F29" i="37"/>
  <c r="AA29" i="37" s="1"/>
  <c r="AB36" i="37"/>
  <c r="J37" i="37"/>
  <c r="W37" i="37" s="1"/>
  <c r="H37" i="37"/>
  <c r="U37" i="37" s="1"/>
  <c r="H14" i="33"/>
  <c r="U14" i="33" s="1"/>
  <c r="F14" i="33"/>
  <c r="AA14" i="33" s="1"/>
  <c r="J14" i="33"/>
  <c r="AC14" i="33" s="1"/>
  <c r="H30" i="33"/>
  <c r="U30" i="33" s="1"/>
  <c r="F30" i="33"/>
  <c r="S30" i="33" s="1"/>
  <c r="J30" i="33"/>
  <c r="H44" i="33"/>
  <c r="AB44" i="33" s="1"/>
  <c r="J44" i="33"/>
  <c r="AC44" i="33" s="1"/>
  <c r="F44" i="33"/>
  <c r="AA44" i="33" s="1"/>
  <c r="J46" i="33"/>
  <c r="AC46" i="33" s="1"/>
  <c r="F46" i="33"/>
  <c r="S46" i="33" s="1"/>
  <c r="H46" i="33"/>
  <c r="AB46" i="33"/>
  <c r="H13" i="34"/>
  <c r="AB13" i="34" s="1"/>
  <c r="W13" i="34"/>
  <c r="F13" i="34"/>
  <c r="AA13" i="34"/>
  <c r="J29" i="34"/>
  <c r="AC29" i="34"/>
  <c r="F29" i="34"/>
  <c r="S29" i="34"/>
  <c r="H29" i="34"/>
  <c r="U29" i="34"/>
  <c r="J31" i="34"/>
  <c r="AC31" i="34"/>
  <c r="AB31" i="34"/>
  <c r="F31" i="34"/>
  <c r="S31" i="34" s="1"/>
  <c r="H45" i="34"/>
  <c r="U45" i="34" s="1"/>
  <c r="J45" i="34"/>
  <c r="W45" i="34" s="1"/>
  <c r="F45" i="34"/>
  <c r="AA45" i="34" s="1"/>
  <c r="H47" i="34"/>
  <c r="U47" i="34" s="1"/>
  <c r="AA47" i="34"/>
  <c r="J47" i="34"/>
  <c r="AC47" i="34" s="1"/>
  <c r="J13" i="35"/>
  <c r="AC13" i="35" s="1"/>
  <c r="J25" i="35"/>
  <c r="AC25" i="35" s="1"/>
  <c r="AA25" i="35"/>
  <c r="H25" i="35"/>
  <c r="AB25" i="35" s="1"/>
  <c r="F35" i="35"/>
  <c r="S35" i="35" s="1"/>
  <c r="J25" i="36"/>
  <c r="W25" i="36" s="1"/>
  <c r="F25" i="36"/>
  <c r="AA25" i="36" s="1"/>
  <c r="H25" i="36"/>
  <c r="AB25" i="36" s="1"/>
  <c r="F13" i="37"/>
  <c r="S13" i="37" s="1"/>
  <c r="H28" i="37"/>
  <c r="U28" i="37" s="1"/>
  <c r="J38" i="37"/>
  <c r="AC38" i="37" s="1"/>
  <c r="F27" i="37"/>
  <c r="AA27" i="37" s="1"/>
  <c r="J27" i="37"/>
  <c r="W27" i="37" s="1"/>
  <c r="J36" i="37"/>
  <c r="AC36" i="37" s="1"/>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s="1"/>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s="1"/>
  <c r="BQ528" i="3"/>
  <c r="BQ526" i="3"/>
  <c r="BL526" i="3" s="1"/>
  <c r="AZ526" i="3" s="1"/>
  <c r="BQ524" i="3"/>
  <c r="BL524" i="3" s="1"/>
  <c r="BQ522" i="3"/>
  <c r="BQ520" i="3"/>
  <c r="BL520" i="3" s="1"/>
  <c r="BQ518" i="3"/>
  <c r="BQ516" i="3"/>
  <c r="BL516" i="3" s="1"/>
  <c r="BQ514" i="3"/>
  <c r="BQ512" i="3"/>
  <c r="BQ510" i="3"/>
  <c r="BL510" i="3" s="1"/>
  <c r="BQ508" i="3"/>
  <c r="BL508" i="3"/>
  <c r="AC506" i="3"/>
  <c r="G506" i="3" s="1"/>
  <c r="BQ506" i="3"/>
  <c r="G502" i="3"/>
  <c r="G498" i="3"/>
  <c r="BQ504" i="3"/>
  <c r="BQ502" i="3"/>
  <c r="BQ500" i="3"/>
  <c r="BQ498" i="3"/>
  <c r="BQ496" i="3"/>
  <c r="AC494" i="3"/>
  <c r="G494" i="3" s="1"/>
  <c r="BQ494" i="3"/>
  <c r="BL494" i="3" s="1"/>
  <c r="G492" i="3"/>
  <c r="G488" i="3"/>
  <c r="G484" i="3"/>
  <c r="BQ492" i="3"/>
  <c r="BL492" i="3"/>
  <c r="BQ490" i="3"/>
  <c r="BQ488" i="3"/>
  <c r="BL488" i="3" s="1"/>
  <c r="BQ486" i="3"/>
  <c r="BQ484" i="3"/>
  <c r="BL484" i="3" s="1"/>
  <c r="BQ482" i="3"/>
  <c r="BL482" i="3" s="1"/>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c r="H17" i="37"/>
  <c r="F23" i="37"/>
  <c r="AA23" i="37" s="1"/>
  <c r="F39" i="33"/>
  <c r="AA39" i="33" s="1"/>
  <c r="E123" i="33"/>
  <c r="F42" i="33"/>
  <c r="AA42" i="33"/>
  <c r="H28" i="34"/>
  <c r="U28" i="34" s="1"/>
  <c r="F22" i="36"/>
  <c r="S22" i="36" s="1"/>
  <c r="H35" i="34"/>
  <c r="AB35" i="34" s="1"/>
  <c r="F41" i="34"/>
  <c r="S41" i="34" s="1"/>
  <c r="H41" i="34"/>
  <c r="AB41" i="34" s="1"/>
  <c r="J41" i="34"/>
  <c r="W41" i="34" s="1"/>
  <c r="F10" i="35"/>
  <c r="S10" i="35" s="1"/>
  <c r="F24" i="35"/>
  <c r="AA24" i="35"/>
  <c r="H24" i="35"/>
  <c r="AB24" i="35" s="1"/>
  <c r="H23" i="37"/>
  <c r="AB23" i="37" s="1"/>
  <c r="J32" i="37"/>
  <c r="W32" i="37" s="1"/>
  <c r="F36" i="37"/>
  <c r="S36" i="37" s="1"/>
  <c r="F37" i="37"/>
  <c r="S37" i="37" s="1"/>
  <c r="F123" i="33"/>
  <c r="G123" i="33" s="1"/>
  <c r="H123" i="33" s="1"/>
  <c r="I123" i="33" s="1"/>
  <c r="J123" i="33" s="1"/>
  <c r="K123" i="33" s="1"/>
  <c r="L123" i="33" s="1"/>
  <c r="M123" i="33" s="1"/>
  <c r="H42" i="33"/>
  <c r="U42" i="33"/>
  <c r="J43" i="33"/>
  <c r="AC43" i="33"/>
  <c r="J23" i="37"/>
  <c r="F17" i="37"/>
  <c r="AA17" i="37" s="1"/>
  <c r="AB43" i="33"/>
  <c r="D3" i="21"/>
  <c r="AC33" i="36"/>
  <c r="AC12" i="35"/>
  <c r="S27" i="37"/>
  <c r="U39" i="37"/>
  <c r="AC8" i="37"/>
  <c r="AC36" i="34"/>
  <c r="AA13" i="33"/>
  <c r="S39" i="33"/>
  <c r="F43" i="33"/>
  <c r="AA9" i="21"/>
  <c r="F37" i="21"/>
  <c r="S37" i="21" s="1"/>
  <c r="J37" i="21"/>
  <c r="W37" i="21" s="1"/>
  <c r="H19" i="34"/>
  <c r="AB19" i="34" s="1"/>
  <c r="J10" i="37"/>
  <c r="W10" i="37" s="1"/>
  <c r="F36" i="35"/>
  <c r="H9" i="37"/>
  <c r="U9" i="37" s="1"/>
  <c r="F11" i="37"/>
  <c r="H15" i="37"/>
  <c r="E94" i="37"/>
  <c r="F94" i="37" s="1"/>
  <c r="G94" i="37" s="1"/>
  <c r="H94" i="37" s="1"/>
  <c r="I94" i="37" s="1"/>
  <c r="J94" i="37" s="1"/>
  <c r="K94" i="37" s="1"/>
  <c r="L94" i="37" s="1"/>
  <c r="M94" i="37" s="1"/>
  <c r="F31" i="37"/>
  <c r="S31" i="37" s="1"/>
  <c r="H31" i="37"/>
  <c r="AB31" i="37" s="1"/>
  <c r="J15" i="37"/>
  <c r="W15" i="37" s="1"/>
  <c r="AB10" i="37"/>
  <c r="J11" i="37"/>
  <c r="W11" i="37"/>
  <c r="E90" i="40"/>
  <c r="F21" i="40"/>
  <c r="S21" i="40" s="1"/>
  <c r="W36" i="40"/>
  <c r="F90" i="40"/>
  <c r="G90" i="40" s="1"/>
  <c r="J21" i="40"/>
  <c r="AC21" i="40" s="1"/>
  <c r="S27" i="31"/>
  <c r="G483" i="3"/>
  <c r="G515" i="3"/>
  <c r="G507" i="3"/>
  <c r="G501" i="3"/>
  <c r="BA15" i="3"/>
  <c r="BL17" i="3"/>
  <c r="BL15" i="3"/>
  <c r="BA14" i="3"/>
  <c r="AZ14" i="3" s="1"/>
  <c r="J57" i="39"/>
  <c r="H13" i="40"/>
  <c r="U13" i="40"/>
  <c r="H12" i="48"/>
  <c r="I4" i="4"/>
  <c r="I59" i="40"/>
  <c r="C59" i="40" s="1"/>
  <c r="I60" i="40"/>
  <c r="C60" i="40" s="1"/>
  <c r="W9" i="33"/>
  <c r="G297" i="3"/>
  <c r="BL298" i="3"/>
  <c r="G299" i="3"/>
  <c r="BL300" i="3"/>
  <c r="BA302" i="3"/>
  <c r="BA303" i="3"/>
  <c r="BL303" i="3"/>
  <c r="G304" i="3"/>
  <c r="BA305" i="3"/>
  <c r="AZ305" i="3" s="1"/>
  <c r="G321" i="3"/>
  <c r="BL322" i="3"/>
  <c r="G323" i="3"/>
  <c r="BL324" i="3"/>
  <c r="BA326" i="3"/>
  <c r="BA327" i="3"/>
  <c r="BL327" i="3"/>
  <c r="G328" i="3"/>
  <c r="BA329" i="3"/>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AZ361" i="3" s="1"/>
  <c r="G362" i="3"/>
  <c r="BA363" i="3"/>
  <c r="G371" i="3"/>
  <c r="BL372" i="3"/>
  <c r="G373" i="3"/>
  <c r="BL374" i="3"/>
  <c r="BA376" i="3"/>
  <c r="BA377" i="3"/>
  <c r="AZ377" i="3" s="1"/>
  <c r="BL377" i="3"/>
  <c r="G378" i="3"/>
  <c r="BA379" i="3"/>
  <c r="BA114" i="3"/>
  <c r="BL115" i="3"/>
  <c r="G116" i="3"/>
  <c r="BA118" i="3"/>
  <c r="BL119" i="3"/>
  <c r="G120" i="3"/>
  <c r="BA122" i="3"/>
  <c r="AZ122" i="3" s="1"/>
  <c r="BL123" i="3"/>
  <c r="AZ123" i="3" s="1"/>
  <c r="G124" i="3"/>
  <c r="BA126" i="3"/>
  <c r="BL127" i="3"/>
  <c r="G128" i="3"/>
  <c r="BA130" i="3"/>
  <c r="BL131" i="3"/>
  <c r="G132" i="3"/>
  <c r="BA134" i="3"/>
  <c r="BL135" i="3"/>
  <c r="AZ135" i="3" s="1"/>
  <c r="G136" i="3"/>
  <c r="BA138" i="3"/>
  <c r="BL139" i="3"/>
  <c r="G140" i="3"/>
  <c r="BA142" i="3"/>
  <c r="BL143" i="3"/>
  <c r="G144" i="3"/>
  <c r="BA146" i="3"/>
  <c r="AZ146" i="3" s="1"/>
  <c r="BL147" i="3"/>
  <c r="AZ147" i="3" s="1"/>
  <c r="G148" i="3"/>
  <c r="BA150" i="3"/>
  <c r="BL151" i="3"/>
  <c r="BA153" i="3"/>
  <c r="AZ153" i="3" s="1"/>
  <c r="BL154" i="3"/>
  <c r="G155" i="3"/>
  <c r="BA157" i="3"/>
  <c r="BL158" i="3"/>
  <c r="G159" i="3"/>
  <c r="BA161" i="3"/>
  <c r="BL162" i="3"/>
  <c r="AZ162" i="3" s="1"/>
  <c r="G163" i="3"/>
  <c r="BA165" i="3"/>
  <c r="BA169" i="3"/>
  <c r="BL170" i="3"/>
  <c r="G171" i="3"/>
  <c r="BA173" i="3"/>
  <c r="BL174" i="3"/>
  <c r="G175" i="3"/>
  <c r="BA178" i="3"/>
  <c r="AZ178" i="3" s="1"/>
  <c r="BL179" i="3"/>
  <c r="G180" i="3"/>
  <c r="AZ43" i="3"/>
  <c r="G537" i="3"/>
  <c r="BL181" i="3"/>
  <c r="G182" i="3"/>
  <c r="BA184" i="3"/>
  <c r="AZ184" i="3" s="1"/>
  <c r="BL185" i="3"/>
  <c r="G186" i="3"/>
  <c r="BA188" i="3"/>
  <c r="AZ188" i="3" s="1"/>
  <c r="BL189" i="3"/>
  <c r="G190" i="3"/>
  <c r="BA192" i="3"/>
  <c r="AZ192" i="3" s="1"/>
  <c r="BL193" i="3"/>
  <c r="G194" i="3"/>
  <c r="BA196" i="3"/>
  <c r="BL197" i="3"/>
  <c r="G198" i="3"/>
  <c r="BA200" i="3"/>
  <c r="BL201" i="3"/>
  <c r="AZ84" i="3"/>
  <c r="G491" i="3"/>
  <c r="BA298" i="3"/>
  <c r="BA299" i="3"/>
  <c r="AZ299" i="3" s="1"/>
  <c r="BL299" i="3"/>
  <c r="G300" i="3"/>
  <c r="G303" i="3"/>
  <c r="BL304" i="3"/>
  <c r="BA306" i="3"/>
  <c r="AZ306" i="3" s="1"/>
  <c r="BA307" i="3"/>
  <c r="BL307" i="3"/>
  <c r="G308" i="3"/>
  <c r="G319" i="3"/>
  <c r="BL320" i="3"/>
  <c r="BA322" i="3"/>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AZ364" i="3"/>
  <c r="BA365" i="3"/>
  <c r="BL365" i="3"/>
  <c r="G366" i="3"/>
  <c r="G369" i="3"/>
  <c r="BL370" i="3"/>
  <c r="BA372" i="3"/>
  <c r="BA373" i="3"/>
  <c r="BL373" i="3"/>
  <c r="AZ373" i="3" s="1"/>
  <c r="G374" i="3"/>
  <c r="G377" i="3"/>
  <c r="BL378" i="3"/>
  <c r="BA380" i="3"/>
  <c r="BA381" i="3"/>
  <c r="BL381" i="3"/>
  <c r="AZ381" i="3" s="1"/>
  <c r="G382" i="3"/>
  <c r="G385" i="3"/>
  <c r="AZ170" i="3"/>
  <c r="AZ187" i="3"/>
  <c r="G523" i="3"/>
  <c r="BL297" i="3"/>
  <c r="G298" i="3"/>
  <c r="BA300" i="3"/>
  <c r="AZ300" i="3" s="1"/>
  <c r="BL301" i="3"/>
  <c r="G302" i="3"/>
  <c r="BA304" i="3"/>
  <c r="AZ304" i="3" s="1"/>
  <c r="BL305" i="3"/>
  <c r="G306" i="3"/>
  <c r="BA308" i="3"/>
  <c r="AZ308" i="3" s="1"/>
  <c r="BL309" i="3"/>
  <c r="G310" i="3"/>
  <c r="BA310" i="3"/>
  <c r="AZ310" i="3" s="1"/>
  <c r="BL311" i="3"/>
  <c r="AZ311" i="3" s="1"/>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45" i="3"/>
  <c r="AZ321" i="3"/>
  <c r="AZ363" i="3"/>
  <c r="G368" i="3"/>
  <c r="BA370" i="3"/>
  <c r="AZ370" i="3" s="1"/>
  <c r="BL371" i="3"/>
  <c r="AZ371" i="3" s="1"/>
  <c r="G372" i="3"/>
  <c r="BA374" i="3"/>
  <c r="AZ374" i="3"/>
  <c r="BL375" i="3"/>
  <c r="G376" i="3"/>
  <c r="BA378" i="3"/>
  <c r="AZ378" i="3"/>
  <c r="BL379" i="3"/>
  <c r="G380" i="3"/>
  <c r="BA382" i="3"/>
  <c r="BL383" i="3"/>
  <c r="G384" i="3"/>
  <c r="AZ261" i="3"/>
  <c r="AZ383" i="3"/>
  <c r="AZ351" i="3"/>
  <c r="H7" i="48"/>
  <c r="F33" i="46"/>
  <c r="H16" i="48"/>
  <c r="H9" i="48"/>
  <c r="H8" i="48"/>
  <c r="AB16" i="35"/>
  <c r="AA13" i="40"/>
  <c r="E78" i="40"/>
  <c r="F78" i="40" s="1"/>
  <c r="G78" i="40" s="1"/>
  <c r="H78" i="40" s="1"/>
  <c r="I78" i="40" s="1"/>
  <c r="J78" i="40" s="1"/>
  <c r="K78" i="40" s="1"/>
  <c r="L78" i="40" s="1"/>
  <c r="M78" i="40" s="1"/>
  <c r="D3" i="35"/>
  <c r="G4" i="4"/>
  <c r="S37" i="34"/>
  <c r="J16" i="35"/>
  <c r="W16" i="35" s="1"/>
  <c r="AC26" i="36"/>
  <c r="W25" i="35"/>
  <c r="AZ354" i="3"/>
  <c r="H13" i="39"/>
  <c r="U13" i="39" s="1"/>
  <c r="J13" i="39"/>
  <c r="H11" i="37"/>
  <c r="AB11" i="37"/>
  <c r="AA30" i="33"/>
  <c r="AA36" i="37"/>
  <c r="S42" i="33"/>
  <c r="U32" i="33"/>
  <c r="AZ508" i="3"/>
  <c r="AC11" i="36"/>
  <c r="AC10" i="36"/>
  <c r="AB45" i="34"/>
  <c r="S25" i="35"/>
  <c r="W44" i="33"/>
  <c r="AC30" i="33"/>
  <c r="W30" i="33"/>
  <c r="AC29" i="37"/>
  <c r="U28" i="33"/>
  <c r="AB28" i="33"/>
  <c r="J33" i="34"/>
  <c r="AC33" i="34" s="1"/>
  <c r="AB36" i="34"/>
  <c r="J40" i="34"/>
  <c r="W40" i="34" s="1"/>
  <c r="F16" i="35"/>
  <c r="AA16" i="35" s="1"/>
  <c r="S24" i="36"/>
  <c r="J35" i="34"/>
  <c r="W35" i="34"/>
  <c r="F107" i="34"/>
  <c r="G107" i="34" s="1"/>
  <c r="H107" i="34"/>
  <c r="I107" i="34" s="1"/>
  <c r="J107" i="34" s="1"/>
  <c r="K107" i="34" s="1"/>
  <c r="L107" i="34" s="1"/>
  <c r="M107" i="34" s="1"/>
  <c r="H16" i="36"/>
  <c r="AB16" i="36"/>
  <c r="G103" i="37"/>
  <c r="H103" i="37" s="1"/>
  <c r="I103" i="37" s="1"/>
  <c r="J103" i="37" s="1"/>
  <c r="K103" i="37" s="1"/>
  <c r="L103" i="37" s="1"/>
  <c r="M103" i="37" s="1"/>
  <c r="H35" i="37"/>
  <c r="AB35" i="37" s="1"/>
  <c r="H32" i="21"/>
  <c r="U39" i="21"/>
  <c r="J32" i="21"/>
  <c r="AC32" i="21" s="1"/>
  <c r="F17" i="21"/>
  <c r="S17" i="21" s="1"/>
  <c r="H17" i="21"/>
  <c r="J17" i="21"/>
  <c r="AC17" i="21" s="1"/>
  <c r="H37" i="21"/>
  <c r="U37" i="21" s="1"/>
  <c r="F40" i="21"/>
  <c r="AA40" i="21" s="1"/>
  <c r="H40" i="21"/>
  <c r="AB40" i="21" s="1"/>
  <c r="E119" i="21"/>
  <c r="F119" i="21" s="1"/>
  <c r="G119" i="21" s="1"/>
  <c r="H119" i="21" s="1"/>
  <c r="I119" i="21" s="1"/>
  <c r="J119" i="21" s="1"/>
  <c r="K119" i="21" s="1"/>
  <c r="L119" i="21" s="1"/>
  <c r="M119" i="21" s="1"/>
  <c r="AA8" i="33"/>
  <c r="S8" i="33"/>
  <c r="H66" i="33"/>
  <c r="F10" i="33"/>
  <c r="F11" i="33"/>
  <c r="S11" i="33" s="1"/>
  <c r="J15" i="33"/>
  <c r="H19" i="33"/>
  <c r="AB19" i="33"/>
  <c r="F32" i="33"/>
  <c r="J32" i="33"/>
  <c r="AC32" i="33" s="1"/>
  <c r="F35" i="33"/>
  <c r="AA35" i="33" s="1"/>
  <c r="AB39" i="34"/>
  <c r="F11" i="34"/>
  <c r="S11" i="34" s="1"/>
  <c r="E80" i="34"/>
  <c r="F80" i="34" s="1"/>
  <c r="H17" i="34"/>
  <c r="AB17" i="34" s="1"/>
  <c r="AB28" i="35"/>
  <c r="U28" i="35"/>
  <c r="J13" i="33"/>
  <c r="W13" i="33" s="1"/>
  <c r="H13" i="33"/>
  <c r="U13" i="33" s="1"/>
  <c r="J12" i="34"/>
  <c r="AC12" i="34" s="1"/>
  <c r="H12" i="34"/>
  <c r="AB12" i="34" s="1"/>
  <c r="F12" i="34"/>
  <c r="S12" i="34" s="1"/>
  <c r="H30" i="34"/>
  <c r="AB30" i="34" s="1"/>
  <c r="F30" i="34"/>
  <c r="J30" i="34"/>
  <c r="W30" i="34"/>
  <c r="J32" i="34"/>
  <c r="H46" i="34"/>
  <c r="AB46" i="34" s="1"/>
  <c r="F46" i="34"/>
  <c r="J46" i="34"/>
  <c r="AC46" i="34" s="1"/>
  <c r="H11" i="35"/>
  <c r="J11" i="35"/>
  <c r="AC11" i="35" s="1"/>
  <c r="F96" i="37"/>
  <c r="H32" i="37"/>
  <c r="AB32" i="37" s="1"/>
  <c r="F19" i="39"/>
  <c r="S19" i="39" s="1"/>
  <c r="H19" i="39"/>
  <c r="AB19" i="39" s="1"/>
  <c r="J19" i="39"/>
  <c r="F99" i="37"/>
  <c r="G99" i="37" s="1"/>
  <c r="H99" i="37" s="1"/>
  <c r="I99" i="37" s="1"/>
  <c r="J99" i="37" s="1"/>
  <c r="K99" i="37" s="1"/>
  <c r="L99" i="37" s="1"/>
  <c r="M99" i="37" s="1"/>
  <c r="AC27" i="37"/>
  <c r="U25" i="35"/>
  <c r="S45" i="34"/>
  <c r="U31" i="34"/>
  <c r="W27" i="33"/>
  <c r="S28" i="33"/>
  <c r="AA44" i="34"/>
  <c r="AB29" i="35"/>
  <c r="U29" i="35"/>
  <c r="U43" i="34"/>
  <c r="AB43" i="34"/>
  <c r="AC34" i="37"/>
  <c r="S35" i="37"/>
  <c r="AA35" i="37"/>
  <c r="AB10" i="35"/>
  <c r="S32" i="21"/>
  <c r="U38" i="21"/>
  <c r="AB34" i="21"/>
  <c r="BL570" i="3"/>
  <c r="F42" i="21"/>
  <c r="AA42" i="21" s="1"/>
  <c r="AB40" i="33"/>
  <c r="AA35" i="34"/>
  <c r="E90" i="34"/>
  <c r="S9" i="35"/>
  <c r="J14" i="35"/>
  <c r="F14" i="35"/>
  <c r="H14" i="35"/>
  <c r="U14" i="35" s="1"/>
  <c r="E80" i="35"/>
  <c r="M94" i="35"/>
  <c r="J32" i="35"/>
  <c r="AC32" i="35" s="1"/>
  <c r="H11" i="36"/>
  <c r="AB11" i="36" s="1"/>
  <c r="F11" i="36"/>
  <c r="S11" i="36" s="1"/>
  <c r="W16" i="36"/>
  <c r="AC16" i="36"/>
  <c r="E78" i="36"/>
  <c r="F78" i="36" s="1"/>
  <c r="G78" i="36" s="1"/>
  <c r="H78" i="36" s="1"/>
  <c r="I78" i="36" s="1"/>
  <c r="J78" i="36" s="1"/>
  <c r="K78" i="36" s="1"/>
  <c r="L78" i="36" s="1"/>
  <c r="M78" i="36" s="1"/>
  <c r="F26" i="36"/>
  <c r="AA26" i="36" s="1"/>
  <c r="H33" i="36"/>
  <c r="U33" i="36" s="1"/>
  <c r="F33" i="36"/>
  <c r="AA33" i="36" s="1"/>
  <c r="H27" i="36"/>
  <c r="AB27" i="36" s="1"/>
  <c r="AA31" i="36"/>
  <c r="AB29" i="37"/>
  <c r="S30" i="37"/>
  <c r="AC30" i="37"/>
  <c r="AC31" i="37"/>
  <c r="F17" i="39"/>
  <c r="S17" i="39" s="1"/>
  <c r="F21" i="39"/>
  <c r="S21" i="39" s="1"/>
  <c r="H21" i="39"/>
  <c r="AB21" i="39" s="1"/>
  <c r="J21" i="39"/>
  <c r="F33" i="39"/>
  <c r="H33" i="39"/>
  <c r="U33" i="39" s="1"/>
  <c r="F44" i="39"/>
  <c r="H44" i="39"/>
  <c r="U44" i="39" s="1"/>
  <c r="J44" i="39"/>
  <c r="W44" i="39" s="1"/>
  <c r="E128" i="39"/>
  <c r="F128" i="39" s="1"/>
  <c r="G128" i="39" s="1"/>
  <c r="H128" i="39" s="1"/>
  <c r="I128" i="39" s="1"/>
  <c r="J128" i="39" s="1"/>
  <c r="K128" i="39" s="1"/>
  <c r="L128" i="39" s="1"/>
  <c r="M128" i="39" s="1"/>
  <c r="F29" i="39"/>
  <c r="F34" i="39"/>
  <c r="AA34" i="39" s="1"/>
  <c r="H34" i="39"/>
  <c r="J34" i="39"/>
  <c r="AC34" i="39" s="1"/>
  <c r="F39" i="39"/>
  <c r="H39" i="39"/>
  <c r="AB39" i="39" s="1"/>
  <c r="J39" i="39"/>
  <c r="J29" i="35"/>
  <c r="AC29" i="35" s="1"/>
  <c r="F29" i="35"/>
  <c r="W30" i="36"/>
  <c r="AC30" i="36"/>
  <c r="F37" i="39"/>
  <c r="S37" i="39" s="1"/>
  <c r="H37" i="39"/>
  <c r="U37" i="39" s="1"/>
  <c r="J37" i="39"/>
  <c r="W37" i="39" s="1"/>
  <c r="BL565" i="3"/>
  <c r="BA553" i="3"/>
  <c r="BL549" i="3"/>
  <c r="BA549" i="3"/>
  <c r="BL548" i="3"/>
  <c r="BA548" i="3"/>
  <c r="BA538" i="3"/>
  <c r="BA535" i="3"/>
  <c r="AZ535" i="3"/>
  <c r="BA534" i="3"/>
  <c r="BA533" i="3"/>
  <c r="BL531" i="3"/>
  <c r="BA530" i="3"/>
  <c r="BL529" i="3"/>
  <c r="BA529" i="3"/>
  <c r="BL528" i="3"/>
  <c r="BA527" i="3"/>
  <c r="BA526" i="3"/>
  <c r="BA525" i="3"/>
  <c r="BL523" i="3"/>
  <c r="BA523" i="3"/>
  <c r="BL522" i="3"/>
  <c r="BA522" i="3"/>
  <c r="AZ522" i="3"/>
  <c r="BL521" i="3"/>
  <c r="AZ521" i="3" s="1"/>
  <c r="BA519" i="3"/>
  <c r="AZ519" i="3" s="1"/>
  <c r="BL518" i="3"/>
  <c r="BA518" i="3"/>
  <c r="BL517" i="3"/>
  <c r="BA517" i="3"/>
  <c r="BL515" i="3"/>
  <c r="BA515" i="3"/>
  <c r="BA514" i="3"/>
  <c r="BL513" i="3"/>
  <c r="BA513" i="3"/>
  <c r="BL512" i="3"/>
  <c r="BA511" i="3"/>
  <c r="BA510" i="3"/>
  <c r="BL509" i="3"/>
  <c r="AZ509" i="3" s="1"/>
  <c r="BL507" i="3"/>
  <c r="BA507" i="3"/>
  <c r="AZ507" i="3"/>
  <c r="BL506" i="3"/>
  <c r="BA506" i="3"/>
  <c r="BL505" i="3"/>
  <c r="BL504" i="3"/>
  <c r="BA504" i="3"/>
  <c r="BA503" i="3"/>
  <c r="AZ503" i="3" s="1"/>
  <c r="BA499" i="3"/>
  <c r="BA495" i="3"/>
  <c r="AZ495" i="3" s="1"/>
  <c r="BA494" i="3"/>
  <c r="AZ494" i="3" s="1"/>
  <c r="BA491" i="3"/>
  <c r="BL490" i="3"/>
  <c r="BA490" i="3"/>
  <c r="AZ490" i="3" s="1"/>
  <c r="BL489" i="3"/>
  <c r="BA489" i="3"/>
  <c r="BL487" i="3"/>
  <c r="BL486" i="3"/>
  <c r="BA486" i="3"/>
  <c r="BA485" i="3"/>
  <c r="BA483" i="3"/>
  <c r="BA482" i="3"/>
  <c r="AZ482" i="3" s="1"/>
  <c r="BL481" i="3"/>
  <c r="BA481" i="3"/>
  <c r="AZ481" i="3"/>
  <c r="BL19" i="3"/>
  <c r="AZ19" i="3"/>
  <c r="BA18" i="3"/>
  <c r="F114" i="34"/>
  <c r="G114" i="34" s="1"/>
  <c r="H114" i="34" s="1"/>
  <c r="I114" i="34" s="1"/>
  <c r="J114" i="34" s="1"/>
  <c r="K114" i="34" s="1"/>
  <c r="L114" i="34" s="1"/>
  <c r="M114" i="34" s="1"/>
  <c r="H38" i="34"/>
  <c r="U38" i="34"/>
  <c r="H30" i="40"/>
  <c r="G100" i="40"/>
  <c r="J30" i="40"/>
  <c r="W30" i="40" s="1"/>
  <c r="F38" i="40"/>
  <c r="AA38" i="40" s="1"/>
  <c r="AA36" i="34"/>
  <c r="U8" i="21"/>
  <c r="AC36" i="21"/>
  <c r="AB8" i="33"/>
  <c r="U8" i="33"/>
  <c r="E106" i="33"/>
  <c r="H34" i="33"/>
  <c r="F34" i="33"/>
  <c r="S34" i="33" s="1"/>
  <c r="E121" i="33"/>
  <c r="F121" i="33" s="1"/>
  <c r="F41" i="33"/>
  <c r="S41" i="33" s="1"/>
  <c r="AC34" i="34"/>
  <c r="W34" i="34"/>
  <c r="AA39" i="34"/>
  <c r="S39" i="34"/>
  <c r="S43" i="34"/>
  <c r="E78" i="34"/>
  <c r="F78" i="34" s="1"/>
  <c r="G78" i="34" s="1"/>
  <c r="F15" i="34"/>
  <c r="AC28" i="35"/>
  <c r="W28" i="35"/>
  <c r="J20" i="35"/>
  <c r="E72" i="35"/>
  <c r="F72" i="35" s="1"/>
  <c r="G72" i="35" s="1"/>
  <c r="H22" i="35"/>
  <c r="AB22" i="35" s="1"/>
  <c r="AB36" i="35"/>
  <c r="U36" i="35"/>
  <c r="U31" i="36"/>
  <c r="S8" i="37"/>
  <c r="AA8" i="37"/>
  <c r="F16" i="39"/>
  <c r="S16" i="39" s="1"/>
  <c r="AA16" i="39"/>
  <c r="H16" i="39"/>
  <c r="U16" i="39"/>
  <c r="J16" i="39"/>
  <c r="W16" i="39" s="1"/>
  <c r="AC16" i="39"/>
  <c r="F27" i="39"/>
  <c r="AA27" i="39" s="1"/>
  <c r="H27" i="39"/>
  <c r="U27" i="39" s="1"/>
  <c r="J27" i="39"/>
  <c r="F15" i="40"/>
  <c r="AA15" i="40" s="1"/>
  <c r="J15" i="40"/>
  <c r="W15" i="40" s="1"/>
  <c r="H15" i="40"/>
  <c r="AB15" i="40" s="1"/>
  <c r="E92" i="40"/>
  <c r="F92" i="40" s="1"/>
  <c r="G92" i="40" s="1"/>
  <c r="H23" i="40"/>
  <c r="U23" i="40" s="1"/>
  <c r="H41" i="40"/>
  <c r="U41" i="40" s="1"/>
  <c r="F41" i="40"/>
  <c r="AA41" i="40" s="1"/>
  <c r="J41" i="40"/>
  <c r="W41" i="40" s="1"/>
  <c r="H36" i="33"/>
  <c r="H37" i="34"/>
  <c r="AB37" i="34" s="1"/>
  <c r="F15" i="39"/>
  <c r="S15" i="39" s="1"/>
  <c r="J15" i="39"/>
  <c r="W15" i="39" s="1"/>
  <c r="H25" i="39"/>
  <c r="U25" i="39" s="1"/>
  <c r="J25" i="39"/>
  <c r="W25" i="39" s="1"/>
  <c r="F25" i="39"/>
  <c r="AA25" i="39" s="1"/>
  <c r="F45" i="39"/>
  <c r="S45" i="39" s="1"/>
  <c r="H45" i="39"/>
  <c r="U45" i="39" s="1"/>
  <c r="J45" i="39"/>
  <c r="AC45" i="39" s="1"/>
  <c r="F47" i="39"/>
  <c r="AA47" i="39" s="1"/>
  <c r="H47" i="39"/>
  <c r="AB47" i="39" s="1"/>
  <c r="J47" i="39"/>
  <c r="W47" i="39" s="1"/>
  <c r="F41" i="39"/>
  <c r="S41" i="39" s="1"/>
  <c r="H41" i="39"/>
  <c r="AB41" i="39" s="1"/>
  <c r="J41" i="39"/>
  <c r="AC41" i="39" s="1"/>
  <c r="E94" i="40"/>
  <c r="J25" i="40"/>
  <c r="AC25" i="40" s="1"/>
  <c r="J32" i="40"/>
  <c r="AC32" i="40" s="1"/>
  <c r="H32" i="40"/>
  <c r="U32" i="40"/>
  <c r="H33" i="40"/>
  <c r="AB33" i="40" s="1"/>
  <c r="F33" i="40"/>
  <c r="AA33" i="40" s="1"/>
  <c r="J33" i="40"/>
  <c r="H35" i="40"/>
  <c r="AB35" i="40" s="1"/>
  <c r="F35" i="40"/>
  <c r="J35" i="40"/>
  <c r="AC35" i="40" s="1"/>
  <c r="J38" i="39"/>
  <c r="W38" i="39" s="1"/>
  <c r="H38" i="39"/>
  <c r="U38" i="39"/>
  <c r="J16" i="40"/>
  <c r="J14" i="40"/>
  <c r="W14" i="40" s="1"/>
  <c r="H42" i="40"/>
  <c r="H40" i="40"/>
  <c r="U40" i="40" s="1"/>
  <c r="B41" i="1"/>
  <c r="J42" i="40"/>
  <c r="AC42" i="40" s="1"/>
  <c r="J40" i="40"/>
  <c r="AC40" i="40" s="1"/>
  <c r="H16" i="40"/>
  <c r="AB16" i="40" s="1"/>
  <c r="H14" i="40"/>
  <c r="F32" i="40"/>
  <c r="AA32" i="40" s="1"/>
  <c r="M1" i="46"/>
  <c r="M6" i="46"/>
  <c r="M10" i="46"/>
  <c r="N2" i="46"/>
  <c r="N5" i="46"/>
  <c r="F58" i="46"/>
  <c r="N7" i="46"/>
  <c r="M7" i="46"/>
  <c r="M11" i="46"/>
  <c r="N3" i="46"/>
  <c r="N6" i="46"/>
  <c r="N10" i="46"/>
  <c r="F69" i="46"/>
  <c r="H71" i="46"/>
  <c r="J13" i="40"/>
  <c r="W13" i="40" s="1"/>
  <c r="AC14" i="40"/>
  <c r="W35" i="40"/>
  <c r="S33" i="40"/>
  <c r="AB32" i="40"/>
  <c r="AC47" i="39"/>
  <c r="U37" i="34"/>
  <c r="AC41" i="40"/>
  <c r="J23" i="40"/>
  <c r="W23" i="40" s="1"/>
  <c r="F23" i="40"/>
  <c r="S23" i="40" s="1"/>
  <c r="AC15" i="40"/>
  <c r="AB16" i="39"/>
  <c r="H20" i="35"/>
  <c r="U20" i="35" s="1"/>
  <c r="F20" i="35"/>
  <c r="S20" i="35" s="1"/>
  <c r="H15" i="34"/>
  <c r="AB15" i="34" s="1"/>
  <c r="J15" i="34"/>
  <c r="H41" i="33"/>
  <c r="U41" i="33" s="1"/>
  <c r="G121" i="33"/>
  <c r="H121" i="33" s="1"/>
  <c r="I121" i="33" s="1"/>
  <c r="J121" i="33" s="1"/>
  <c r="K121" i="33" s="1"/>
  <c r="L121" i="33" s="1"/>
  <c r="M121" i="33" s="1"/>
  <c r="F30" i="40"/>
  <c r="AA30" i="40" s="1"/>
  <c r="H100" i="40"/>
  <c r="I100" i="40" s="1"/>
  <c r="J100" i="40" s="1"/>
  <c r="K100" i="40" s="1"/>
  <c r="L100" i="40" s="1"/>
  <c r="M100" i="40" s="1"/>
  <c r="AB38" i="34"/>
  <c r="AZ486" i="3"/>
  <c r="AZ504" i="3"/>
  <c r="AZ529" i="3"/>
  <c r="AZ530" i="3"/>
  <c r="AZ548" i="3"/>
  <c r="AZ549" i="3"/>
  <c r="AB37" i="39"/>
  <c r="U39" i="39"/>
  <c r="U21" i="39"/>
  <c r="AB33" i="36"/>
  <c r="AA11" i="36"/>
  <c r="AA14" i="35"/>
  <c r="S14" i="35"/>
  <c r="F33" i="37"/>
  <c r="U19" i="39"/>
  <c r="U46" i="34"/>
  <c r="AC30" i="34"/>
  <c r="W12" i="34"/>
  <c r="AC13" i="33"/>
  <c r="U17" i="34"/>
  <c r="W32" i="33"/>
  <c r="H15" i="33"/>
  <c r="U15" i="33" s="1"/>
  <c r="AA11" i="33"/>
  <c r="U16" i="40"/>
  <c r="W32" i="40"/>
  <c r="H25" i="40"/>
  <c r="AB25" i="40" s="1"/>
  <c r="F94" i="40"/>
  <c r="G94" i="40" s="1"/>
  <c r="U47" i="39"/>
  <c r="J37" i="34"/>
  <c r="AC37" i="34" s="1"/>
  <c r="J36" i="33"/>
  <c r="S41" i="40"/>
  <c r="AB23" i="40"/>
  <c r="S15" i="34"/>
  <c r="AA15" i="34"/>
  <c r="AA41" i="33"/>
  <c r="AA34" i="33"/>
  <c r="F106" i="33"/>
  <c r="G106" i="33" s="1"/>
  <c r="H106" i="33" s="1"/>
  <c r="I106" i="33"/>
  <c r="J106" i="33" s="1"/>
  <c r="K106" i="33" s="1"/>
  <c r="L106" i="33" s="1"/>
  <c r="M106" i="33" s="1"/>
  <c r="J34" i="33"/>
  <c r="AA37" i="39"/>
  <c r="W29" i="35"/>
  <c r="AC39" i="39"/>
  <c r="W39" i="39"/>
  <c r="AA39" i="39"/>
  <c r="S39" i="39"/>
  <c r="AB44"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2" i="34"/>
  <c r="AB13" i="33"/>
  <c r="G80" i="34"/>
  <c r="F17" i="34"/>
  <c r="AA17" i="34" s="1"/>
  <c r="J17" i="34"/>
  <c r="H11" i="34"/>
  <c r="AB11" i="34" s="1"/>
  <c r="J35" i="33"/>
  <c r="AC35" i="33" s="1"/>
  <c r="H11" i="33"/>
  <c r="U11" i="33" s="1"/>
  <c r="H10" i="33"/>
  <c r="U10" i="33" s="1"/>
  <c r="I66" i="33"/>
  <c r="J10" i="33"/>
  <c r="AC10" i="33" s="1"/>
  <c r="U40" i="21"/>
  <c r="U11" i="37"/>
  <c r="AC16" i="35"/>
  <c r="AC13" i="40"/>
  <c r="J11" i="34"/>
  <c r="AC11" i="34" s="1"/>
  <c r="S17" i="34"/>
  <c r="F25" i="40"/>
  <c r="S25" i="40" s="1"/>
  <c r="J11" i="33"/>
  <c r="W11" i="33" s="1"/>
  <c r="H33" i="37"/>
  <c r="U33" i="37" s="1"/>
  <c r="AB20" i="35"/>
  <c r="D73" i="9"/>
  <c r="N73" i="9"/>
  <c r="B11" i="1"/>
  <c r="E11" i="1" s="1"/>
  <c r="K11" i="1"/>
  <c r="M11" i="1" s="1"/>
  <c r="O11" i="1" s="1"/>
  <c r="B9" i="1"/>
  <c r="E9" i="1" s="1"/>
  <c r="K9" i="1"/>
  <c r="M9" i="1" s="1"/>
  <c r="O9" i="1" s="1"/>
  <c r="C20" i="43"/>
  <c r="G11" i="1"/>
  <c r="F32" i="15"/>
  <c r="F59" i="15" s="1"/>
  <c r="AC25" i="36"/>
  <c r="S23" i="36"/>
  <c r="S8" i="36"/>
  <c r="AA28" i="36"/>
  <c r="U25" i="36"/>
  <c r="H20" i="36"/>
  <c r="U20" i="36" s="1"/>
  <c r="F68" i="36"/>
  <c r="G68" i="36" s="1"/>
  <c r="J20" i="36"/>
  <c r="F20" i="36"/>
  <c r="S20" i="36" s="1"/>
  <c r="F62" i="36"/>
  <c r="G62" i="36" s="1"/>
  <c r="J14" i="36"/>
  <c r="H14" i="36"/>
  <c r="AB14" i="36" s="1"/>
  <c r="F14" i="36"/>
  <c r="AA14" i="36" s="1"/>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s="1"/>
  <c r="H26" i="35"/>
  <c r="U26" i="35" s="1"/>
  <c r="AB9" i="37"/>
  <c r="S17" i="37"/>
  <c r="AB37" i="37"/>
  <c r="AA31" i="37"/>
  <c r="S33" i="37"/>
  <c r="AA33" i="37"/>
  <c r="U32" i="37"/>
  <c r="AA32" i="37"/>
  <c r="J33" i="37"/>
  <c r="W33" i="37" s="1"/>
  <c r="S29" i="37"/>
  <c r="J19" i="37"/>
  <c r="AC19" i="37"/>
  <c r="G75" i="37"/>
  <c r="F19" i="37"/>
  <c r="H19" i="37"/>
  <c r="J17" i="37"/>
  <c r="AC17" i="37" s="1"/>
  <c r="S15" i="37"/>
  <c r="AC10" i="37"/>
  <c r="AC21" i="37"/>
  <c r="W21" i="37"/>
  <c r="AC11" i="37"/>
  <c r="U35" i="37"/>
  <c r="U8" i="37"/>
  <c r="AB25" i="37"/>
  <c r="AB21" i="37"/>
  <c r="U21" i="37"/>
  <c r="W46" i="34"/>
  <c r="AC45" i="34"/>
  <c r="AA40" i="34"/>
  <c r="W33" i="34"/>
  <c r="U30" i="34"/>
  <c r="AA12" i="34"/>
  <c r="AC35" i="34"/>
  <c r="AA33" i="34"/>
  <c r="U44" i="34"/>
  <c r="U34" i="34"/>
  <c r="J25" i="34"/>
  <c r="AC25" i="34" s="1"/>
  <c r="H25" i="34"/>
  <c r="F25" i="34"/>
  <c r="J23" i="34"/>
  <c r="AC23" i="34" s="1"/>
  <c r="F86" i="34"/>
  <c r="G86" i="34" s="1"/>
  <c r="F23" i="34"/>
  <c r="H23" i="34"/>
  <c r="U23" i="34" s="1"/>
  <c r="U11" i="34"/>
  <c r="W10" i="34"/>
  <c r="U10" i="34"/>
  <c r="W37" i="34"/>
  <c r="AC40" i="34"/>
  <c r="W44" i="34"/>
  <c r="W19" i="34"/>
  <c r="W29" i="34"/>
  <c r="AC21" i="34"/>
  <c r="W21" i="34"/>
  <c r="U15" i="34"/>
  <c r="AB21" i="34"/>
  <c r="U21" i="34"/>
  <c r="U19" i="34"/>
  <c r="S13" i="34"/>
  <c r="AA41" i="34"/>
  <c r="S10" i="34"/>
  <c r="U39" i="33"/>
  <c r="U37" i="33"/>
  <c r="S35" i="33"/>
  <c r="AB41" i="33"/>
  <c r="W31" i="33"/>
  <c r="W43" i="33"/>
  <c r="U46" i="33"/>
  <c r="W39" i="33"/>
  <c r="U35" i="33"/>
  <c r="W26" i="33"/>
  <c r="AB26" i="33"/>
  <c r="H25" i="33"/>
  <c r="J25" i="33"/>
  <c r="W25" i="33" s="1"/>
  <c r="F87" i="33"/>
  <c r="G87" i="33" s="1"/>
  <c r="H87" i="33" s="1"/>
  <c r="I87" i="33" s="1"/>
  <c r="J87" i="33" s="1"/>
  <c r="K87" i="33" s="1"/>
  <c r="L87" i="33" s="1"/>
  <c r="M87" i="33" s="1"/>
  <c r="F25" i="33"/>
  <c r="S25" i="33" s="1"/>
  <c r="F85" i="33"/>
  <c r="G85" i="33"/>
  <c r="J23" i="33"/>
  <c r="AC23" i="33" s="1"/>
  <c r="F23" i="33"/>
  <c r="S23" i="33" s="1"/>
  <c r="H23" i="33"/>
  <c r="U19" i="33"/>
  <c r="F79" i="33"/>
  <c r="G79" i="33"/>
  <c r="F17" i="33"/>
  <c r="H17" i="33"/>
  <c r="J17" i="33"/>
  <c r="AC17" i="33" s="1"/>
  <c r="AB15" i="33"/>
  <c r="AC11" i="33"/>
  <c r="S14" i="33"/>
  <c r="AC21" i="33"/>
  <c r="W21" i="33"/>
  <c r="W14" i="33"/>
  <c r="AB10" i="33"/>
  <c r="AB21" i="33"/>
  <c r="U21" i="33"/>
  <c r="AA21" i="33"/>
  <c r="S21" i="33"/>
  <c r="AA36" i="33"/>
  <c r="W39" i="21"/>
  <c r="U35" i="21"/>
  <c r="W43" i="21"/>
  <c r="W28" i="21"/>
  <c r="AC26" i="21"/>
  <c r="F15" i="21"/>
  <c r="S15" i="21" s="1"/>
  <c r="J15" i="21"/>
  <c r="AC15" i="21" s="1"/>
  <c r="AC11" i="21"/>
  <c r="AB11" i="21"/>
  <c r="AA11" i="21"/>
  <c r="AC21" i="21"/>
  <c r="W21" i="21"/>
  <c r="AC38" i="21"/>
  <c r="AB21" i="21"/>
  <c r="U21" i="21"/>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AB39" i="40" s="1"/>
  <c r="J39" i="40"/>
  <c r="W39" i="40" s="1"/>
  <c r="W38" i="40"/>
  <c r="F29" i="40"/>
  <c r="H29" i="40"/>
  <c r="AB29" i="40" s="1"/>
  <c r="J29" i="40"/>
  <c r="AC29" i="40" s="1"/>
  <c r="H98" i="40"/>
  <c r="I98" i="40" s="1"/>
  <c r="J98" i="40" s="1"/>
  <c r="K98" i="40" s="1"/>
  <c r="L98" i="40" s="1"/>
  <c r="M98" i="40" s="1"/>
  <c r="S30" i="40"/>
  <c r="AA23" i="40"/>
  <c r="F88" i="40"/>
  <c r="G88" i="40" s="1"/>
  <c r="F19" i="40"/>
  <c r="H19" i="40"/>
  <c r="AB19" i="40" s="1"/>
  <c r="J19" i="40"/>
  <c r="W19" i="40" s="1"/>
  <c r="W17" i="40"/>
  <c r="AC17" i="40"/>
  <c r="F17" i="40"/>
  <c r="H17" i="40"/>
  <c r="AB17" i="40" s="1"/>
  <c r="W21" i="40"/>
  <c r="AB40" i="40"/>
  <c r="U10" i="40"/>
  <c r="U27" i="40"/>
  <c r="AB27" i="40"/>
  <c r="AC44" i="39"/>
  <c r="S11" i="39"/>
  <c r="AB45" i="39"/>
  <c r="AC38" i="39"/>
  <c r="U41" i="39"/>
  <c r="AB38" i="39"/>
  <c r="S25" i="39"/>
  <c r="A18" i="64"/>
  <c r="B74" i="63" s="1"/>
  <c r="A18" i="51"/>
  <c r="B14" i="63" s="1"/>
  <c r="BA16" i="3"/>
  <c r="BA17" i="3"/>
  <c r="AZ17" i="3" s="1"/>
  <c r="G1" i="44"/>
  <c r="G3" i="46"/>
  <c r="H22" i="46" s="1"/>
  <c r="BO5" i="3"/>
  <c r="BL18" i="3"/>
  <c r="AZ18" i="3" s="1"/>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58" i="46"/>
  <c r="B56" i="46"/>
  <c r="A4" i="64"/>
  <c r="A4" i="51"/>
  <c r="B6" i="63" s="1"/>
  <c r="C51" i="10"/>
  <c r="I100" i="46"/>
  <c r="C24" i="46"/>
  <c r="N100" i="46"/>
  <c r="H100" i="46"/>
  <c r="F108" i="46"/>
  <c r="H80" i="46"/>
  <c r="E100" i="46"/>
  <c r="G100" i="46"/>
  <c r="H84" i="46"/>
  <c r="C100" i="46"/>
  <c r="J100" i="46"/>
  <c r="M100" i="46"/>
  <c r="W11" i="35"/>
  <c r="C24" i="9"/>
  <c r="C25" i="9"/>
  <c r="I20" i="46"/>
  <c r="L5" i="54"/>
  <c r="B39" i="63" s="1"/>
  <c r="T41" i="4"/>
  <c r="A17" i="64" s="1"/>
  <c r="B46" i="50"/>
  <c r="B4" i="63" s="1"/>
  <c r="H86" i="46"/>
  <c r="H82" i="46"/>
  <c r="H10" i="48"/>
  <c r="H87" i="46"/>
  <c r="H85" i="46"/>
  <c r="H83" i="46"/>
  <c r="K10" i="1"/>
  <c r="M10" i="1" s="1"/>
  <c r="S11" i="1"/>
  <c r="R11" i="1"/>
  <c r="S13" i="1"/>
  <c r="R13" i="1"/>
  <c r="B10" i="1"/>
  <c r="E10" i="1" s="1"/>
  <c r="S10" i="1"/>
  <c r="B8" i="1"/>
  <c r="E8" i="1" s="1"/>
  <c r="B12" i="1"/>
  <c r="E12" i="1" s="1"/>
  <c r="S12" i="1"/>
  <c r="K6" i="1"/>
  <c r="M6" i="1" s="1"/>
  <c r="F66" i="36"/>
  <c r="H18" i="36"/>
  <c r="AB18" i="36" s="1"/>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s="1"/>
  <c r="W37" i="40"/>
  <c r="U17" i="40"/>
  <c r="U38" i="40"/>
  <c r="S42" i="40"/>
  <c r="G105" i="39"/>
  <c r="J31" i="39"/>
  <c r="W31" i="39" s="1"/>
  <c r="W41" i="39"/>
  <c r="AB33" i="39"/>
  <c r="S34" i="39"/>
  <c r="W42" i="39"/>
  <c r="W36" i="39"/>
  <c r="AC37" i="39"/>
  <c r="W45" i="39"/>
  <c r="W34"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s="1"/>
  <c r="B72" i="63" s="1"/>
  <c r="C4" i="4"/>
  <c r="B20" i="55" s="1"/>
  <c r="B70" i="63" s="1"/>
  <c r="G66" i="36"/>
  <c r="J18" i="36"/>
  <c r="AC18" i="36" s="1"/>
  <c r="AE6" i="1"/>
  <c r="AG6" i="1"/>
  <c r="L20" i="6"/>
  <c r="S9" i="1"/>
  <c r="R9" i="1"/>
  <c r="C45" i="9"/>
  <c r="N76" i="9"/>
  <c r="C46" i="9"/>
  <c r="O41" i="9" s="1"/>
  <c r="R8" i="54" s="1"/>
  <c r="B54" i="63" s="1"/>
  <c r="J17" i="46"/>
  <c r="C17" i="46"/>
  <c r="F34" i="46"/>
  <c r="F38" i="46"/>
  <c r="F37" i="46"/>
  <c r="H113" i="46"/>
  <c r="H49" i="46"/>
  <c r="H53" i="46"/>
  <c r="D13" i="59"/>
  <c r="C12" i="59"/>
  <c r="D12" i="59" s="1"/>
  <c r="U10" i="59"/>
  <c r="F13" i="59"/>
  <c r="F12" i="59" s="1"/>
  <c r="F11" i="59"/>
  <c r="F10" i="59" s="1"/>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C7" i="46" s="1"/>
  <c r="E8" i="46"/>
  <c r="H69" i="46"/>
  <c r="H77" i="46"/>
  <c r="H76" i="46"/>
  <c r="H55" i="46"/>
  <c r="H54" i="46"/>
  <c r="H52" i="46"/>
  <c r="H47" i="46"/>
  <c r="AD12" i="46"/>
  <c r="AH12" i="46"/>
  <c r="G20" i="46"/>
  <c r="E41" i="46" s="1"/>
  <c r="C41" i="46" s="1"/>
  <c r="N7" i="65"/>
  <c r="B11" i="67"/>
  <c r="B10" i="67"/>
  <c r="E12" i="67"/>
  <c r="E14" i="67"/>
  <c r="E10" i="67"/>
  <c r="N4" i="65"/>
  <c r="F14" i="67"/>
  <c r="N5" i="65"/>
  <c r="E13" i="67"/>
  <c r="N3" i="65"/>
  <c r="F8" i="67"/>
  <c r="F11" i="67"/>
  <c r="B13" i="67"/>
  <c r="F10" i="67"/>
  <c r="E11" i="67"/>
  <c r="B9" i="67"/>
  <c r="B14" i="67"/>
  <c r="N6" i="65"/>
  <c r="E9" i="67"/>
  <c r="F11" i="44"/>
  <c r="M25" i="44"/>
  <c r="F12" i="67"/>
  <c r="E8" i="67"/>
  <c r="F9" i="67"/>
  <c r="B12" i="67"/>
  <c r="F13" i="67"/>
  <c r="B8" i="67"/>
  <c r="F45" i="44"/>
  <c r="W18" i="36" l="1"/>
  <c r="W11" i="34"/>
  <c r="S47" i="39"/>
  <c r="W40" i="40"/>
  <c r="AC15" i="39"/>
  <c r="AZ513" i="3"/>
  <c r="AZ518" i="3"/>
  <c r="S26" i="36"/>
  <c r="AZ356" i="3"/>
  <c r="AZ340" i="3"/>
  <c r="AZ329" i="3"/>
  <c r="AZ358" i="3"/>
  <c r="AZ355" i="3"/>
  <c r="AZ339" i="3"/>
  <c r="AZ307" i="3"/>
  <c r="AZ322" i="3"/>
  <c r="AZ303" i="3"/>
  <c r="U23" i="37"/>
  <c r="I14" i="66"/>
  <c r="B8" i="66" s="1"/>
  <c r="H12" i="33"/>
  <c r="J12" i="33"/>
  <c r="G389" i="3"/>
  <c r="BL391" i="3"/>
  <c r="G395" i="3"/>
  <c r="BA398" i="3"/>
  <c r="G399" i="3"/>
  <c r="BA403" i="3"/>
  <c r="G404" i="3"/>
  <c r="G407" i="3"/>
  <c r="BA408" i="3"/>
  <c r="G413" i="3"/>
  <c r="G416" i="3"/>
  <c r="BA417" i="3"/>
  <c r="BL421" i="3"/>
  <c r="BA422" i="3"/>
  <c r="G423" i="3"/>
  <c r="G425" i="3"/>
  <c r="G428" i="3"/>
  <c r="BL429" i="3"/>
  <c r="BL430" i="3"/>
  <c r="G564" i="3"/>
  <c r="G497" i="3"/>
  <c r="G495" i="3"/>
  <c r="G493" i="3"/>
  <c r="G490" i="3"/>
  <c r="G487" i="3"/>
  <c r="G15" i="3"/>
  <c r="G14" i="3"/>
  <c r="G431" i="3"/>
  <c r="BA434" i="3"/>
  <c r="BL434" i="3"/>
  <c r="BA435" i="3"/>
  <c r="BL435" i="3"/>
  <c r="G436" i="3"/>
  <c r="BA439" i="3"/>
  <c r="G440" i="3"/>
  <c r="G445" i="3"/>
  <c r="BA447" i="3"/>
  <c r="G448" i="3"/>
  <c r="G453" i="3"/>
  <c r="G457" i="3"/>
  <c r="G460" i="3"/>
  <c r="BA462" i="3"/>
  <c r="G463" i="3"/>
  <c r="BA465" i="3"/>
  <c r="G466" i="3"/>
  <c r="G470" i="3"/>
  <c r="BA475" i="3"/>
  <c r="G476" i="3"/>
  <c r="BA478" i="3"/>
  <c r="BL478" i="3"/>
  <c r="G480" i="3"/>
  <c r="BA301" i="3"/>
  <c r="AZ301" i="3" s="1"/>
  <c r="G307" i="3"/>
  <c r="G317" i="3"/>
  <c r="BL330" i="3"/>
  <c r="AZ330" i="3" s="1"/>
  <c r="BA334" i="3"/>
  <c r="BL334" i="3"/>
  <c r="BL346" i="3"/>
  <c r="AZ346" i="3" s="1"/>
  <c r="BA350" i="3"/>
  <c r="G388" i="3"/>
  <c r="G208" i="3"/>
  <c r="BL210" i="3"/>
  <c r="G214" i="3"/>
  <c r="BA216" i="3"/>
  <c r="BL216" i="3"/>
  <c r="G218" i="3"/>
  <c r="G220" i="3"/>
  <c r="G224" i="3"/>
  <c r="BL226" i="3"/>
  <c r="G230" i="3"/>
  <c r="BA232" i="3"/>
  <c r="BL232" i="3"/>
  <c r="BA233" i="3"/>
  <c r="G235" i="3"/>
  <c r="BA237" i="3"/>
  <c r="BL237" i="3"/>
  <c r="BA238" i="3"/>
  <c r="BL238" i="3"/>
  <c r="G239" i="3"/>
  <c r="G241" i="3"/>
  <c r="BA243" i="3"/>
  <c r="BL243" i="3"/>
  <c r="BA244" i="3"/>
  <c r="G245" i="3"/>
  <c r="BL247" i="3"/>
  <c r="G251" i="3"/>
  <c r="BA253" i="3"/>
  <c r="BL253" i="3"/>
  <c r="BA254" i="3"/>
  <c r="G255" i="3"/>
  <c r="G257" i="3"/>
  <c r="BA259" i="3"/>
  <c r="BL259" i="3"/>
  <c r="BA260" i="3"/>
  <c r="G261" i="3"/>
  <c r="BL263" i="3"/>
  <c r="G268" i="3"/>
  <c r="BL272" i="3"/>
  <c r="BA273" i="3"/>
  <c r="BL273" i="3"/>
  <c r="G274" i="3"/>
  <c r="G276" i="3"/>
  <c r="BL277" i="3"/>
  <c r="BA278" i="3"/>
  <c r="AZ278" i="3" s="1"/>
  <c r="BL278" i="3"/>
  <c r="G279" i="3"/>
  <c r="BL280" i="3"/>
  <c r="BA281" i="3"/>
  <c r="AZ281" i="3" s="1"/>
  <c r="BL281" i="3"/>
  <c r="G282" i="3"/>
  <c r="G286" i="3"/>
  <c r="BA290" i="3"/>
  <c r="AZ290" i="3" s="1"/>
  <c r="BL290" i="3"/>
  <c r="BL291" i="3"/>
  <c r="BL292" i="3"/>
  <c r="G113" i="3"/>
  <c r="G115" i="3"/>
  <c r="BA121" i="3"/>
  <c r="AZ121" i="3" s="1"/>
  <c r="BL121" i="3"/>
  <c r="G123" i="3"/>
  <c r="BA131" i="3"/>
  <c r="AZ131" i="3" s="1"/>
  <c r="BA132" i="3"/>
  <c r="G133" i="3"/>
  <c r="BA136" i="3"/>
  <c r="BL136" i="3"/>
  <c r="G138" i="3"/>
  <c r="BA140" i="3"/>
  <c r="G141" i="3"/>
  <c r="BL141" i="3"/>
  <c r="G146" i="3"/>
  <c r="G151" i="3"/>
  <c r="BA151" i="3"/>
  <c r="AZ151" i="3" s="1"/>
  <c r="BA158" i="3"/>
  <c r="AZ158" i="3" s="1"/>
  <c r="BL160" i="3"/>
  <c r="BL163" i="3"/>
  <c r="G165" i="3"/>
  <c r="G169" i="3"/>
  <c r="G170" i="3"/>
  <c r="G174" i="3"/>
  <c r="G176" i="3"/>
  <c r="G179" i="3"/>
  <c r="D32" i="59"/>
  <c r="C33" i="59"/>
  <c r="D33" i="59" s="1"/>
  <c r="BA181" i="3"/>
  <c r="AZ181" i="3" s="1"/>
  <c r="G185" i="3"/>
  <c r="BA186" i="3"/>
  <c r="G195" i="3"/>
  <c r="BA195" i="3"/>
  <c r="G196" i="3"/>
  <c r="G197" i="3"/>
  <c r="BL200" i="3"/>
  <c r="AZ200" i="3" s="1"/>
  <c r="BA202" i="3"/>
  <c r="BL202" i="3"/>
  <c r="G203" i="3"/>
  <c r="BL203" i="3"/>
  <c r="G21" i="3"/>
  <c r="G24" i="3"/>
  <c r="G27" i="3"/>
  <c r="BA28" i="3"/>
  <c r="G29" i="3"/>
  <c r="BA29" i="3"/>
  <c r="G30" i="3"/>
  <c r="BA32" i="3"/>
  <c r="BL32" i="3"/>
  <c r="BL33" i="3"/>
  <c r="G34" i="3"/>
  <c r="BA35" i="3"/>
  <c r="G36" i="3"/>
  <c r="BL40" i="3"/>
  <c r="BA42" i="3"/>
  <c r="G50" i="3"/>
  <c r="BL55" i="3"/>
  <c r="BA56" i="3"/>
  <c r="G63" i="3"/>
  <c r="G66" i="3"/>
  <c r="G69" i="3"/>
  <c r="BL73" i="3"/>
  <c r="BA74" i="3"/>
  <c r="G75" i="3"/>
  <c r="G78" i="3"/>
  <c r="BA80" i="3"/>
  <c r="BA83" i="3"/>
  <c r="BL87" i="3"/>
  <c r="BA88" i="3"/>
  <c r="AZ88" i="3" s="1"/>
  <c r="BL88" i="3"/>
  <c r="G90" i="3"/>
  <c r="G94" i="3"/>
  <c r="BA99" i="3"/>
  <c r="G100" i="3"/>
  <c r="BA101" i="3"/>
  <c r="G106" i="3"/>
  <c r="BA108" i="3"/>
  <c r="BL108" i="3"/>
  <c r="BL109" i="3"/>
  <c r="G110" i="3"/>
  <c r="AE10" i="46"/>
  <c r="Z10" i="46"/>
  <c r="D14" i="59"/>
  <c r="E26" i="57"/>
  <c r="I20" i="57"/>
  <c r="C27" i="40"/>
  <c r="F31" i="39"/>
  <c r="AA31" i="39" s="1"/>
  <c r="AB15" i="59"/>
  <c r="AA24" i="59"/>
  <c r="AA26" i="59"/>
  <c r="AB28" i="59"/>
  <c r="C45" i="59"/>
  <c r="B53" i="59"/>
  <c r="B54" i="59" s="1"/>
  <c r="S54" i="59" s="1"/>
  <c r="F65" i="59"/>
  <c r="F64" i="59" s="1"/>
  <c r="AB14" i="59"/>
  <c r="F97" i="39"/>
  <c r="G97" i="39" s="1"/>
  <c r="H23" i="39"/>
  <c r="AB23" i="39" s="1"/>
  <c r="F23" i="39"/>
  <c r="AA23" i="39" s="1"/>
  <c r="J23" i="39"/>
  <c r="W23" i="39" s="1"/>
  <c r="W42" i="21"/>
  <c r="U42" i="21"/>
  <c r="S42" i="21"/>
  <c r="AB37" i="21"/>
  <c r="AA37" i="21"/>
  <c r="W32" i="21"/>
  <c r="H23" i="21"/>
  <c r="AB23" i="21" s="1"/>
  <c r="F85" i="21"/>
  <c r="G85" i="21" s="1"/>
  <c r="J23" i="21"/>
  <c r="W23" i="21" s="1"/>
  <c r="S21" i="21"/>
  <c r="AC19" i="21"/>
  <c r="U19" i="21"/>
  <c r="S19" i="21"/>
  <c r="AA17" i="21"/>
  <c r="H15" i="21"/>
  <c r="AB15" i="21" s="1"/>
  <c r="W15" i="21"/>
  <c r="AA15" i="21"/>
  <c r="W10" i="21"/>
  <c r="AB10" i="21"/>
  <c r="S8" i="21"/>
  <c r="G13" i="3"/>
  <c r="C11" i="59"/>
  <c r="C10" i="59" s="1"/>
  <c r="AA25" i="40"/>
  <c r="AB41" i="40"/>
  <c r="AB27" i="39"/>
  <c r="AZ489" i="3"/>
  <c r="AZ506" i="3"/>
  <c r="AZ515" i="3"/>
  <c r="AZ517" i="3"/>
  <c r="AZ523" i="3"/>
  <c r="S40" i="21"/>
  <c r="U9" i="33"/>
  <c r="AB9" i="33"/>
  <c r="U27" i="37"/>
  <c r="AB27" i="37"/>
  <c r="C20" i="46"/>
  <c r="W35" i="33"/>
  <c r="F66" i="9"/>
  <c r="P72" i="9" s="1"/>
  <c r="F28" i="71"/>
  <c r="C28" i="71" s="1"/>
  <c r="M18" i="71"/>
  <c r="F32" i="71"/>
  <c r="F59" i="71" s="1"/>
  <c r="AA41" i="39"/>
  <c r="F83" i="39"/>
  <c r="G83" i="39" s="1"/>
  <c r="H83" i="39" s="1"/>
  <c r="I83" i="39" s="1"/>
  <c r="J83" i="39" s="1"/>
  <c r="K83" i="39" s="1"/>
  <c r="L83" i="39" s="1"/>
  <c r="M83" i="39" s="1"/>
  <c r="F13" i="39"/>
  <c r="S13" i="39" s="1"/>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s="1"/>
  <c r="BA565" i="3"/>
  <c r="BA563" i="3"/>
  <c r="BA556" i="3"/>
  <c r="BL547" i="3"/>
  <c r="BA547" i="3"/>
  <c r="BL542" i="3"/>
  <c r="BA542" i="3"/>
  <c r="BP5" i="3"/>
  <c r="BA541" i="3"/>
  <c r="BA502" i="3"/>
  <c r="BL501" i="3"/>
  <c r="AZ501" i="3" s="1"/>
  <c r="BL500" i="3"/>
  <c r="BA500" i="3"/>
  <c r="F34" i="15"/>
  <c r="F61" i="15" s="1"/>
  <c r="F34" i="71"/>
  <c r="M20" i="71"/>
  <c r="G17" i="3"/>
  <c r="AA40" i="39"/>
  <c r="D25" i="44"/>
  <c r="C12" i="46"/>
  <c r="BA389" i="3"/>
  <c r="AZ389" i="3" s="1"/>
  <c r="BA391" i="3"/>
  <c r="AZ391" i="3" s="1"/>
  <c r="BL392" i="3"/>
  <c r="BA393" i="3"/>
  <c r="BL393" i="3"/>
  <c r="G394" i="3"/>
  <c r="BA395" i="3"/>
  <c r="BL395" i="3"/>
  <c r="BA396" i="3"/>
  <c r="G397" i="3"/>
  <c r="BA399" i="3"/>
  <c r="BL399" i="3"/>
  <c r="G400" i="3"/>
  <c r="BA401" i="3"/>
  <c r="G402" i="3"/>
  <c r="BA404" i="3"/>
  <c r="BA405" i="3"/>
  <c r="BL405" i="3"/>
  <c r="G406" i="3"/>
  <c r="BA407" i="3"/>
  <c r="G408" i="3"/>
  <c r="BA409" i="3"/>
  <c r="AZ409" i="3" s="1"/>
  <c r="BL411" i="3"/>
  <c r="G412" i="3"/>
  <c r="BL412" i="3"/>
  <c r="BA415" i="3"/>
  <c r="BL415" i="3"/>
  <c r="BA416" i="3"/>
  <c r="G417" i="3"/>
  <c r="BA419" i="3"/>
  <c r="BA421" i="3"/>
  <c r="AZ421" i="3" s="1"/>
  <c r="BA423" i="3"/>
  <c r="AZ423" i="3" s="1"/>
  <c r="BL424" i="3"/>
  <c r="BA425" i="3"/>
  <c r="BL425" i="3"/>
  <c r="G426" i="3"/>
  <c r="BA427" i="3"/>
  <c r="BL427" i="3"/>
  <c r="BA428" i="3"/>
  <c r="BL428" i="3"/>
  <c r="BA429" i="3"/>
  <c r="AZ429" i="3" s="1"/>
  <c r="BA431" i="3"/>
  <c r="AZ431" i="3" s="1"/>
  <c r="G433" i="3"/>
  <c r="BA436" i="3"/>
  <c r="AZ436" i="3" s="1"/>
  <c r="BA440" i="3"/>
  <c r="BL441" i="3"/>
  <c r="AZ441" i="3" s="1"/>
  <c r="BA442" i="3"/>
  <c r="BL442" i="3"/>
  <c r="G443" i="3"/>
  <c r="G444" i="3"/>
  <c r="BL444" i="3"/>
  <c r="AZ444" i="3" s="1"/>
  <c r="BL445" i="3"/>
  <c r="G446" i="3"/>
  <c r="BA448" i="3"/>
  <c r="BL449" i="3"/>
  <c r="AZ449" i="3" s="1"/>
  <c r="BA450" i="3"/>
  <c r="BL450" i="3"/>
  <c r="G451" i="3"/>
  <c r="G452" i="3"/>
  <c r="BL452" i="3"/>
  <c r="AZ452" i="3" s="1"/>
  <c r="BL453" i="3"/>
  <c r="G454" i="3"/>
  <c r="BA455" i="3"/>
  <c r="G456" i="3"/>
  <c r="G459" i="3"/>
  <c r="BL459" i="3"/>
  <c r="AZ459" i="3" s="1"/>
  <c r="BL460" i="3"/>
  <c r="G461" i="3"/>
  <c r="BA463" i="3"/>
  <c r="BL463" i="3"/>
  <c r="G464" i="3"/>
  <c r="BA466" i="3"/>
  <c r="BL466" i="3"/>
  <c r="G467" i="3"/>
  <c r="BL467" i="3"/>
  <c r="AZ467" i="3" s="1"/>
  <c r="BA468" i="3"/>
  <c r="BL468" i="3"/>
  <c r="G469" i="3"/>
  <c r="BA470" i="3"/>
  <c r="BL470" i="3"/>
  <c r="BA471" i="3"/>
  <c r="BL471" i="3"/>
  <c r="BA472" i="3"/>
  <c r="AZ472" i="3" s="1"/>
  <c r="BA476" i="3"/>
  <c r="BL477" i="3"/>
  <c r="AZ477" i="3" s="1"/>
  <c r="BA297" i="3"/>
  <c r="AZ297" i="3" s="1"/>
  <c r="G311" i="3"/>
  <c r="BA313" i="3"/>
  <c r="AZ313" i="3" s="1"/>
  <c r="BA315" i="3"/>
  <c r="AZ315" i="3" s="1"/>
  <c r="BA317" i="3"/>
  <c r="AZ317" i="3" s="1"/>
  <c r="BL319" i="3"/>
  <c r="AZ319" i="3" s="1"/>
  <c r="G325" i="3"/>
  <c r="BA335" i="3"/>
  <c r="AZ335" i="3" s="1"/>
  <c r="BA341" i="3"/>
  <c r="AZ341" i="3" s="1"/>
  <c r="BA353" i="3"/>
  <c r="AZ353" i="3" s="1"/>
  <c r="BA357" i="3"/>
  <c r="AZ357" i="3" s="1"/>
  <c r="G365" i="3"/>
  <c r="BL366" i="3"/>
  <c r="AZ366" i="3" s="1"/>
  <c r="G367" i="3"/>
  <c r="G375" i="3"/>
  <c r="BL376" i="3"/>
  <c r="AZ376" i="3" s="1"/>
  <c r="BL380" i="3"/>
  <c r="AZ380" i="3" s="1"/>
  <c r="G381" i="3"/>
  <c r="BL382" i="3"/>
  <c r="AZ382" i="3" s="1"/>
  <c r="BA384" i="3"/>
  <c r="AZ384" i="3" s="1"/>
  <c r="BA385" i="3"/>
  <c r="BL385" i="3"/>
  <c r="BA386" i="3"/>
  <c r="AZ386" i="3" s="1"/>
  <c r="BL387" i="3"/>
  <c r="BL388" i="3"/>
  <c r="G205" i="3"/>
  <c r="BL205" i="3"/>
  <c r="AZ205" i="3" s="1"/>
  <c r="BA206" i="3"/>
  <c r="BL206" i="3"/>
  <c r="G207" i="3"/>
  <c r="BA210" i="3"/>
  <c r="AZ210" i="3" s="1"/>
  <c r="BL211" i="3"/>
  <c r="BA212" i="3"/>
  <c r="BL212" i="3"/>
  <c r="G213" i="3"/>
  <c r="BL213" i="3"/>
  <c r="AZ213" i="3" s="1"/>
  <c r="BA214" i="3"/>
  <c r="BL214" i="3"/>
  <c r="G215" i="3"/>
  <c r="BA218" i="3"/>
  <c r="AZ218" i="3" s="1"/>
  <c r="BL219" i="3"/>
  <c r="BA220" i="3"/>
  <c r="BL220" i="3"/>
  <c r="BL221" i="3"/>
  <c r="AZ221" i="3" s="1"/>
  <c r="BA222" i="3"/>
  <c r="G223" i="3"/>
  <c r="BA226" i="3"/>
  <c r="AZ226" i="3" s="1"/>
  <c r="BL227" i="3"/>
  <c r="BA228" i="3"/>
  <c r="BL228" i="3"/>
  <c r="G229" i="3"/>
  <c r="BL229" i="3"/>
  <c r="AZ229" i="3" s="1"/>
  <c r="BA230" i="3"/>
  <c r="BL230" i="3"/>
  <c r="G231" i="3"/>
  <c r="BA239" i="3"/>
  <c r="AZ239" i="3" s="1"/>
  <c r="BL240" i="3"/>
  <c r="BA241" i="3"/>
  <c r="BL241" i="3"/>
  <c r="G242" i="3"/>
  <c r="BA247" i="3"/>
  <c r="AZ247" i="3" s="1"/>
  <c r="BL248" i="3"/>
  <c r="BL249" i="3"/>
  <c r="G250" i="3"/>
  <c r="BA255" i="3"/>
  <c r="AZ255" i="3" s="1"/>
  <c r="BL256" i="3"/>
  <c r="BA257" i="3"/>
  <c r="BL257" i="3"/>
  <c r="G258" i="3"/>
  <c r="BA263" i="3"/>
  <c r="AZ263" i="3" s="1"/>
  <c r="BL264" i="3"/>
  <c r="AZ264" i="3" s="1"/>
  <c r="BA265" i="3"/>
  <c r="BL265" i="3"/>
  <c r="BA266" i="3"/>
  <c r="AZ266" i="3" s="1"/>
  <c r="BL267" i="3"/>
  <c r="BL268" i="3"/>
  <c r="G269" i="3"/>
  <c r="BA270" i="3"/>
  <c r="BL270" i="3"/>
  <c r="G271" i="3"/>
  <c r="BA272" i="3"/>
  <c r="AZ272" i="3" s="1"/>
  <c r="BA274" i="3"/>
  <c r="AZ274" i="3" s="1"/>
  <c r="BL275" i="3"/>
  <c r="BA276" i="3"/>
  <c r="BL276" i="3"/>
  <c r="BA277" i="3"/>
  <c r="AZ277" i="3" s="1"/>
  <c r="BA279" i="3"/>
  <c r="BL279" i="3"/>
  <c r="BA280" i="3"/>
  <c r="AZ280" i="3" s="1"/>
  <c r="BA282" i="3"/>
  <c r="AZ282" i="3" s="1"/>
  <c r="G284" i="3"/>
  <c r="BA394" i="3"/>
  <c r="AZ394" i="3" s="1"/>
  <c r="BL397" i="3"/>
  <c r="AZ397" i="3" s="1"/>
  <c r="BA400" i="3"/>
  <c r="AZ400" i="3" s="1"/>
  <c r="BL402" i="3"/>
  <c r="AZ402" i="3" s="1"/>
  <c r="BA406" i="3"/>
  <c r="AZ406" i="3" s="1"/>
  <c r="AZ408" i="3"/>
  <c r="BL408" i="3"/>
  <c r="BL414" i="3"/>
  <c r="BL417" i="3"/>
  <c r="AZ417" i="3" s="1"/>
  <c r="BL420" i="3"/>
  <c r="AZ420" i="3" s="1"/>
  <c r="BA426" i="3"/>
  <c r="AZ426" i="3" s="1"/>
  <c r="BL433" i="3"/>
  <c r="AZ433" i="3" s="1"/>
  <c r="BL438" i="3"/>
  <c r="AZ438" i="3" s="1"/>
  <c r="BA446" i="3"/>
  <c r="AZ446" i="3" s="1"/>
  <c r="BA454" i="3"/>
  <c r="AZ454" i="3" s="1"/>
  <c r="BA456" i="3"/>
  <c r="AZ456" i="3" s="1"/>
  <c r="BA461" i="3"/>
  <c r="AZ461" i="3" s="1"/>
  <c r="BA464" i="3"/>
  <c r="AZ464" i="3" s="1"/>
  <c r="BA469" i="3"/>
  <c r="AZ469" i="3" s="1"/>
  <c r="BL474" i="3"/>
  <c r="AZ474" i="3" s="1"/>
  <c r="BL479" i="3"/>
  <c r="BA368" i="3"/>
  <c r="AZ368" i="3" s="1"/>
  <c r="BL369" i="3"/>
  <c r="AZ369" i="3" s="1"/>
  <c r="BA375" i="3"/>
  <c r="AZ375" i="3" s="1"/>
  <c r="BA207" i="3"/>
  <c r="AZ207" i="3" s="1"/>
  <c r="BL209" i="3"/>
  <c r="AZ209" i="3" s="1"/>
  <c r="BA215" i="3"/>
  <c r="AZ215" i="3" s="1"/>
  <c r="BL217" i="3"/>
  <c r="AZ219" i="3"/>
  <c r="BA223" i="3"/>
  <c r="AZ223" i="3" s="1"/>
  <c r="BL225" i="3"/>
  <c r="AZ225" i="3" s="1"/>
  <c r="BA231" i="3"/>
  <c r="AZ231" i="3" s="1"/>
  <c r="BL233" i="3"/>
  <c r="AZ233" i="3" s="1"/>
  <c r="BA234" i="3"/>
  <c r="AZ234" i="3" s="1"/>
  <c r="BL236" i="3"/>
  <c r="BA242" i="3"/>
  <c r="AZ242" i="3" s="1"/>
  <c r="BL244" i="3"/>
  <c r="AZ244" i="3" s="1"/>
  <c r="BA250" i="3"/>
  <c r="AZ250" i="3" s="1"/>
  <c r="BL252" i="3"/>
  <c r="AZ252" i="3" s="1"/>
  <c r="BA258" i="3"/>
  <c r="AZ258" i="3" s="1"/>
  <c r="BL260" i="3"/>
  <c r="AZ260" i="3" s="1"/>
  <c r="BA269" i="3"/>
  <c r="AZ269" i="3" s="1"/>
  <c r="BL271" i="3"/>
  <c r="AZ275" i="3"/>
  <c r="BA284" i="3"/>
  <c r="AZ284" i="3" s="1"/>
  <c r="BL285" i="3"/>
  <c r="BL287" i="3"/>
  <c r="AZ287" i="3" s="1"/>
  <c r="G289" i="3"/>
  <c r="BL289" i="3"/>
  <c r="AZ289" i="3" s="1"/>
  <c r="BA292" i="3"/>
  <c r="AZ292" i="3" s="1"/>
  <c r="G293" i="3"/>
  <c r="BA293" i="3"/>
  <c r="AZ293" i="3" s="1"/>
  <c r="G295" i="3"/>
  <c r="BL114" i="3"/>
  <c r="AZ114" i="3" s="1"/>
  <c r="BL116" i="3"/>
  <c r="G118" i="3"/>
  <c r="BL124" i="3"/>
  <c r="AZ124" i="3" s="1"/>
  <c r="G126" i="3"/>
  <c r="BL129" i="3"/>
  <c r="BL132" i="3"/>
  <c r="BL134" i="3"/>
  <c r="AZ134" i="3" s="1"/>
  <c r="BL137" i="3"/>
  <c r="G139" i="3"/>
  <c r="BL140" i="3"/>
  <c r="AZ140" i="3" s="1"/>
  <c r="BA141" i="3"/>
  <c r="AZ141" i="3" s="1"/>
  <c r="G143" i="3"/>
  <c r="BA143" i="3"/>
  <c r="AZ143" i="3" s="1"/>
  <c r="BL144" i="3"/>
  <c r="AZ144" i="3" s="1"/>
  <c r="BA145" i="3"/>
  <c r="BL145" i="3"/>
  <c r="BA148" i="3"/>
  <c r="G149" i="3"/>
  <c r="BL150" i="3"/>
  <c r="AZ150" i="3" s="1"/>
  <c r="G153" i="3"/>
  <c r="BA155" i="3"/>
  <c r="BL157" i="3"/>
  <c r="AZ157" i="3" s="1"/>
  <c r="G160" i="3"/>
  <c r="BA160" i="3"/>
  <c r="AZ160" i="3" s="1"/>
  <c r="G162" i="3"/>
  <c r="BA163" i="3"/>
  <c r="AZ163" i="3" s="1"/>
  <c r="BL166" i="3"/>
  <c r="G167" i="3"/>
  <c r="BL169" i="3"/>
  <c r="AZ169" i="3" s="1"/>
  <c r="G173" i="3"/>
  <c r="BA177" i="3"/>
  <c r="AZ177" i="3" s="1"/>
  <c r="G181" i="3"/>
  <c r="BA183" i="3"/>
  <c r="AZ183" i="3" s="1"/>
  <c r="G187" i="3"/>
  <c r="G189" i="3"/>
  <c r="G192" i="3"/>
  <c r="BA194" i="3"/>
  <c r="BL194" i="3"/>
  <c r="BL196" i="3"/>
  <c r="AZ196" i="3" s="1"/>
  <c r="BA197" i="3"/>
  <c r="AZ197" i="3" s="1"/>
  <c r="BA198" i="3"/>
  <c r="G199" i="3"/>
  <c r="BA199" i="3"/>
  <c r="BA203" i="3"/>
  <c r="AZ203" i="3" s="1"/>
  <c r="G204" i="3"/>
  <c r="BL21" i="3"/>
  <c r="BA22" i="3"/>
  <c r="BL23" i="3"/>
  <c r="AZ23" i="3" s="1"/>
  <c r="BA24" i="3"/>
  <c r="BL24" i="3"/>
  <c r="BA25" i="3"/>
  <c r="G28" i="3"/>
  <c r="BL28" i="3"/>
  <c r="BL29" i="3"/>
  <c r="G31" i="3"/>
  <c r="G32" i="3"/>
  <c r="BL34" i="3"/>
  <c r="BA38" i="3"/>
  <c r="AZ38" i="3" s="1"/>
  <c r="BA40" i="3"/>
  <c r="AZ40" i="3" s="1"/>
  <c r="G42" i="3"/>
  <c r="BL46" i="3"/>
  <c r="BL48" i="3"/>
  <c r="BA50" i="3"/>
  <c r="G51" i="3"/>
  <c r="BA55" i="3"/>
  <c r="AZ55" i="3" s="1"/>
  <c r="G60" i="3"/>
  <c r="BA62" i="3"/>
  <c r="BL62" i="3"/>
  <c r="BL63" i="3"/>
  <c r="BL64" i="3"/>
  <c r="BA65" i="3"/>
  <c r="BL65" i="3"/>
  <c r="BA66" i="3"/>
  <c r="BL66" i="3"/>
  <c r="BA68" i="3"/>
  <c r="BL68" i="3"/>
  <c r="G70" i="3"/>
  <c r="BA71" i="3"/>
  <c r="BA73" i="3"/>
  <c r="AZ73" i="3" s="1"/>
  <c r="BL75" i="3"/>
  <c r="BL76" i="3"/>
  <c r="AZ76" i="3" s="1"/>
  <c r="BA77" i="3"/>
  <c r="BL77" i="3"/>
  <c r="BA78" i="3"/>
  <c r="BL78" i="3"/>
  <c r="G80" i="3"/>
  <c r="BA81" i="3"/>
  <c r="BL81" i="3"/>
  <c r="G83" i="3"/>
  <c r="BA87" i="3"/>
  <c r="AZ87" i="3" s="1"/>
  <c r="BA90" i="3"/>
  <c r="AZ90" i="3" s="1"/>
  <c r="BA92" i="3"/>
  <c r="BL92" i="3"/>
  <c r="G93" i="3"/>
  <c r="BA94" i="3"/>
  <c r="G95" i="3"/>
  <c r="BA100" i="3"/>
  <c r="Q56" i="59"/>
  <c r="Q55" i="59"/>
  <c r="D18" i="59"/>
  <c r="T18" i="59"/>
  <c r="BA296" i="3"/>
  <c r="AZ296" i="3" s="1"/>
  <c r="BA133" i="3"/>
  <c r="AZ133" i="3" s="1"/>
  <c r="BL142" i="3"/>
  <c r="AZ142" i="3" s="1"/>
  <c r="BL161" i="3"/>
  <c r="AZ161" i="3" s="1"/>
  <c r="BA168" i="3"/>
  <c r="AZ168" i="3" s="1"/>
  <c r="BL175" i="3"/>
  <c r="BA189" i="3"/>
  <c r="AZ189" i="3" s="1"/>
  <c r="BL198" i="3"/>
  <c r="BA26" i="3"/>
  <c r="AZ26" i="3" s="1"/>
  <c r="AZ28" i="3"/>
  <c r="BL37" i="3"/>
  <c r="BA49" i="3"/>
  <c r="AZ49" i="3" s="1"/>
  <c r="BL51" i="3"/>
  <c r="BL57" i="3"/>
  <c r="AZ57" i="3" s="1"/>
  <c r="BA58" i="3"/>
  <c r="AZ58" i="3" s="1"/>
  <c r="AZ60" i="3"/>
  <c r="BL60" i="3"/>
  <c r="BA61" i="3"/>
  <c r="AZ61" i="3" s="1"/>
  <c r="BA67" i="3"/>
  <c r="AZ67" i="3" s="1"/>
  <c r="BA70" i="3"/>
  <c r="AZ70" i="3" s="1"/>
  <c r="BL72" i="3"/>
  <c r="AZ72" i="3" s="1"/>
  <c r="BL86" i="3"/>
  <c r="AZ86" i="3" s="1"/>
  <c r="BA93" i="3"/>
  <c r="AZ93" i="3" s="1"/>
  <c r="BL95" i="3"/>
  <c r="BL98" i="3"/>
  <c r="AZ98" i="3" s="1"/>
  <c r="AZ101" i="3"/>
  <c r="BL101" i="3"/>
  <c r="BA105" i="3"/>
  <c r="AZ105" i="3" s="1"/>
  <c r="C41" i="59"/>
  <c r="D40" i="59"/>
  <c r="BA103" i="3"/>
  <c r="G105" i="3"/>
  <c r="BA106" i="3"/>
  <c r="BL107" i="3"/>
  <c r="AZ107" i="3" s="1"/>
  <c r="BA110" i="3"/>
  <c r="AZ110" i="3" s="1"/>
  <c r="BA112" i="3"/>
  <c r="AZ112" i="3" s="1"/>
  <c r="BL112" i="3"/>
  <c r="G9" i="1"/>
  <c r="E47" i="46"/>
  <c r="B45" i="46" s="1"/>
  <c r="P27" i="6"/>
  <c r="L16" i="4"/>
  <c r="AB21" i="59"/>
  <c r="Y22" i="59"/>
  <c r="Z22" i="59" s="1"/>
  <c r="AB22" i="59"/>
  <c r="X25" i="59"/>
  <c r="X26" i="59"/>
  <c r="E41" i="59"/>
  <c r="E42" i="59" s="1"/>
  <c r="U42" i="59" s="1"/>
  <c r="E53" i="59"/>
  <c r="E54" i="59" s="1"/>
  <c r="U54" i="59" s="1"/>
  <c r="B61" i="59"/>
  <c r="B60" i="59" s="1"/>
  <c r="F69" i="59"/>
  <c r="F68" i="59" s="1"/>
  <c r="O76" i="9"/>
  <c r="L108" i="46"/>
  <c r="B74" i="46"/>
  <c r="X14" i="59"/>
  <c r="Y5" i="59"/>
  <c r="Y7" i="59"/>
  <c r="Z7" i="59" s="1"/>
  <c r="G17" i="46"/>
  <c r="C16" i="46" s="1"/>
  <c r="D5" i="46" s="1"/>
  <c r="J43" i="39"/>
  <c r="AC43" i="39" s="1"/>
  <c r="F43" i="39"/>
  <c r="S43" i="39" s="1"/>
  <c r="H126" i="39"/>
  <c r="I126" i="39" s="1"/>
  <c r="J126" i="39" s="1"/>
  <c r="K126" i="39" s="1"/>
  <c r="L126" i="39" s="1"/>
  <c r="M126" i="39" s="1"/>
  <c r="H43" i="39"/>
  <c r="U43" i="39" s="1"/>
  <c r="AB43" i="39"/>
  <c r="AA43" i="39"/>
  <c r="J29" i="39"/>
  <c r="AC29" i="39" s="1"/>
  <c r="H29" i="39"/>
  <c r="U29" i="39" s="1"/>
  <c r="AC25" i="39"/>
  <c r="J17" i="39"/>
  <c r="W17" i="39" s="1"/>
  <c r="H17" i="39"/>
  <c r="AB17" i="39" s="1"/>
  <c r="W40" i="39"/>
  <c r="AB13" i="39"/>
  <c r="AB31" i="39"/>
  <c r="AC31" i="39"/>
  <c r="W29" i="39"/>
  <c r="S27" i="39"/>
  <c r="AB25" i="39"/>
  <c r="AC17" i="39"/>
  <c r="AA17" i="39"/>
  <c r="AA21" i="39"/>
  <c r="U11" i="39"/>
  <c r="K7" i="1"/>
  <c r="M7" i="1" s="1"/>
  <c r="O7" i="1" s="1"/>
  <c r="P7" i="1" s="1"/>
  <c r="G1" i="15"/>
  <c r="K1" i="12"/>
  <c r="P8" i="1"/>
  <c r="H5" i="3"/>
  <c r="BL13" i="3"/>
  <c r="BR5" i="3"/>
  <c r="AJ11" i="46"/>
  <c r="AJ13" i="46" s="1"/>
  <c r="E22" i="46"/>
  <c r="S2" i="46"/>
  <c r="J101" i="46"/>
  <c r="J102" i="46" s="1"/>
  <c r="S4" i="46"/>
  <c r="F22" i="46"/>
  <c r="N101" i="46"/>
  <c r="N105" i="46" s="1"/>
  <c r="AA11" i="46"/>
  <c r="S7" i="46"/>
  <c r="C23" i="46"/>
  <c r="C21" i="46" s="1"/>
  <c r="AF11" i="46"/>
  <c r="AF13" i="46" s="1"/>
  <c r="Z11" i="46"/>
  <c r="Z13" i="46" s="1"/>
  <c r="Z7" i="46"/>
  <c r="N104" i="45"/>
  <c r="C101" i="46"/>
  <c r="C109" i="46" s="1"/>
  <c r="AC11" i="46"/>
  <c r="Y11" i="46"/>
  <c r="Y13" i="46" s="1"/>
  <c r="S6" i="46"/>
  <c r="S5" i="46"/>
  <c r="AE11" i="46"/>
  <c r="AE13" i="46" s="1"/>
  <c r="AH11" i="46"/>
  <c r="AH13" i="46" s="1"/>
  <c r="K101" i="46"/>
  <c r="K103" i="46" s="1"/>
  <c r="L101" i="46"/>
  <c r="L105" i="46" s="1"/>
  <c r="G101" i="46"/>
  <c r="G103" i="46" s="1"/>
  <c r="AD11" i="46"/>
  <c r="AD13" i="46" s="1"/>
  <c r="M101" i="46"/>
  <c r="M106" i="46" s="1"/>
  <c r="F101" i="46"/>
  <c r="F109" i="46" s="1"/>
  <c r="H101" i="46"/>
  <c r="H106" i="46" s="1"/>
  <c r="S3" i="46"/>
  <c r="AB11" i="46"/>
  <c r="AB13" i="46" s="1"/>
  <c r="AI11" i="46"/>
  <c r="AG11" i="46"/>
  <c r="AG13" i="46" s="1"/>
  <c r="E101" i="46"/>
  <c r="E107" i="46" s="1"/>
  <c r="B113" i="46"/>
  <c r="D116" i="46" s="1"/>
  <c r="E116" i="46" s="1"/>
  <c r="F116" i="46" s="1"/>
  <c r="G116" i="46" s="1"/>
  <c r="H116" i="46" s="1"/>
  <c r="I101" i="46"/>
  <c r="I106" i="46" s="1"/>
  <c r="D101" i="46"/>
  <c r="D109" i="46" s="1"/>
  <c r="G22" i="46"/>
  <c r="AP6" i="1"/>
  <c r="G6" i="1"/>
  <c r="P16" i="4"/>
  <c r="K17" i="4" s="1"/>
  <c r="A22" i="51" s="1"/>
  <c r="B16" i="63" s="1"/>
  <c r="G7" i="1"/>
  <c r="F36" i="44"/>
  <c r="M20" i="15"/>
  <c r="M22" i="44"/>
  <c r="C92" i="9"/>
  <c r="F31" i="43"/>
  <c r="C31" i="43" s="1"/>
  <c r="F72" i="9"/>
  <c r="D86" i="9"/>
  <c r="F71" i="9"/>
  <c r="F28" i="15"/>
  <c r="C28" i="15" s="1"/>
  <c r="F70" i="9"/>
  <c r="F27" i="43"/>
  <c r="C27" i="43" s="1"/>
  <c r="D96" i="9"/>
  <c r="F30" i="44"/>
  <c r="C30" i="44" s="1"/>
  <c r="F29" i="12"/>
  <c r="F34" i="44"/>
  <c r="M18" i="15"/>
  <c r="M20" i="44"/>
  <c r="D26" i="44"/>
  <c r="G27" i="12"/>
  <c r="G22" i="43"/>
  <c r="G28" i="12"/>
  <c r="G21" i="43"/>
  <c r="C15" i="43"/>
  <c r="C25" i="12"/>
  <c r="G13" i="1"/>
  <c r="C7" i="21"/>
  <c r="C58" i="21" s="1"/>
  <c r="D58" i="21" s="1"/>
  <c r="E58" i="21" s="1"/>
  <c r="F58" i="21" s="1"/>
  <c r="C7" i="34"/>
  <c r="C59" i="34" s="1"/>
  <c r="D59" i="34" s="1"/>
  <c r="E59" i="34" s="1"/>
  <c r="C7" i="35"/>
  <c r="C48" i="35" s="1"/>
  <c r="D48" i="35" s="1"/>
  <c r="E48" i="35" s="1"/>
  <c r="F48" i="35" s="1"/>
  <c r="G48" i="35" s="1"/>
  <c r="H48" i="35" s="1"/>
  <c r="I48" i="35" s="1"/>
  <c r="J48" i="35" s="1"/>
  <c r="K48" i="35" s="1"/>
  <c r="L48" i="35" s="1"/>
  <c r="M48" i="35" s="1"/>
  <c r="N48" i="35" s="1"/>
  <c r="O48" i="35" s="1"/>
  <c r="C9" i="39"/>
  <c r="C70" i="39" s="1"/>
  <c r="G19" i="46"/>
  <c r="O19" i="46" s="1"/>
  <c r="G8" i="1"/>
  <c r="C9" i="40"/>
  <c r="C65" i="40" s="1"/>
  <c r="H1" i="65"/>
  <c r="C7" i="37"/>
  <c r="C52" i="37" s="1"/>
  <c r="D52" i="37" s="1"/>
  <c r="E52" i="37" s="1"/>
  <c r="F52" i="37" s="1"/>
  <c r="G52" i="37" s="1"/>
  <c r="H52" i="37" s="1"/>
  <c r="I52" i="37" s="1"/>
  <c r="J52" i="37" s="1"/>
  <c r="K52" i="37" s="1"/>
  <c r="L52" i="37" s="1"/>
  <c r="M52" i="37" s="1"/>
  <c r="N52" i="37" s="1"/>
  <c r="O52" i="37" s="1"/>
  <c r="D38" i="4"/>
  <c r="C39" i="4" s="1"/>
  <c r="E58" i="33"/>
  <c r="F58" i="33" s="1"/>
  <c r="G58" i="33" s="1"/>
  <c r="H58" i="33" s="1"/>
  <c r="I58" i="33" s="1"/>
  <c r="J58" i="33" s="1"/>
  <c r="K58" i="33" s="1"/>
  <c r="L58" i="33" s="1"/>
  <c r="M58" i="33" s="1"/>
  <c r="N58" i="33" s="1"/>
  <c r="O58" i="33" s="1"/>
  <c r="H61" i="46"/>
  <c r="H64" i="46"/>
  <c r="H60" i="46"/>
  <c r="H66" i="46"/>
  <c r="H62" i="46"/>
  <c r="H58" i="46"/>
  <c r="U34" i="33"/>
  <c r="AB34" i="33"/>
  <c r="AA29" i="35"/>
  <c r="S29" i="35"/>
  <c r="S46" i="34"/>
  <c r="AA46" i="34"/>
  <c r="W45" i="33"/>
  <c r="AC45" i="33"/>
  <c r="W17" i="34"/>
  <c r="AC17" i="34"/>
  <c r="F7" i="37"/>
  <c r="H7" i="36"/>
  <c r="F9" i="59"/>
  <c r="F8" i="59" s="1"/>
  <c r="F7" i="59" s="1"/>
  <c r="F6" i="59" s="1"/>
  <c r="F5" i="59" s="1"/>
  <c r="V10" i="59"/>
  <c r="AB14" i="40"/>
  <c r="U14" i="40"/>
  <c r="S44" i="39"/>
  <c r="AA44" i="39"/>
  <c r="W21" i="39"/>
  <c r="AC21" i="39"/>
  <c r="S30" i="34"/>
  <c r="AA30" i="34"/>
  <c r="AA32" i="33"/>
  <c r="S32" i="33"/>
  <c r="S43" i="33"/>
  <c r="AA43" i="33"/>
  <c r="O40" i="9"/>
  <c r="H14" i="66"/>
  <c r="B7" i="66" s="1"/>
  <c r="O10" i="1"/>
  <c r="P10" i="1" s="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S17" i="40"/>
  <c r="AA17" i="40"/>
  <c r="AB25" i="33"/>
  <c r="U25" i="33"/>
  <c r="P11" i="1"/>
  <c r="U42" i="40"/>
  <c r="AB42" i="40"/>
  <c r="AC33" i="40"/>
  <c r="W33" i="40"/>
  <c r="AZ499" i="3"/>
  <c r="AC32" i="34"/>
  <c r="W32" i="34"/>
  <c r="S36" i="35"/>
  <c r="AA36" i="35"/>
  <c r="O6" i="1"/>
  <c r="AA19" i="37"/>
  <c r="S19" i="37"/>
  <c r="W15" i="34"/>
  <c r="AC15" i="34"/>
  <c r="J34" i="40"/>
  <c r="W16" i="40"/>
  <c r="AC16" i="40"/>
  <c r="H23" i="35"/>
  <c r="AZ538" i="3"/>
  <c r="AB34" i="39"/>
  <c r="U34" i="39"/>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BL556" i="3"/>
  <c r="AZ556" i="3" s="1"/>
  <c r="BL552" i="3"/>
  <c r="BA552" i="3"/>
  <c r="BA545" i="3"/>
  <c r="AZ545" i="3" s="1"/>
  <c r="BA544" i="3"/>
  <c r="BL543" i="3"/>
  <c r="AZ543" i="3" s="1"/>
  <c r="BA540" i="3"/>
  <c r="AZ540" i="3" s="1"/>
  <c r="BL539" i="3"/>
  <c r="BA539" i="3"/>
  <c r="BL537" i="3"/>
  <c r="AZ537" i="3" s="1"/>
  <c r="BL498" i="3"/>
  <c r="BA498" i="3"/>
  <c r="BA497" i="3"/>
  <c r="AZ497" i="3" s="1"/>
  <c r="BL496" i="3"/>
  <c r="AZ496" i="3" s="1"/>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s="1"/>
  <c r="BL562" i="3"/>
  <c r="BA560" i="3"/>
  <c r="AZ560" i="3" s="1"/>
  <c r="BL558" i="3"/>
  <c r="BA558" i="3"/>
  <c r="BA555" i="3"/>
  <c r="AZ555" i="3" s="1"/>
  <c r="BL554" i="3"/>
  <c r="BA554" i="3"/>
  <c r="BL553" i="3"/>
  <c r="AZ553" i="3" s="1"/>
  <c r="AZ500" i="3"/>
  <c r="BB5" i="3"/>
  <c r="E8" i="6" s="1"/>
  <c r="BA13" i="3"/>
  <c r="AB40" i="39"/>
  <c r="U40" i="39"/>
  <c r="AA10" i="39"/>
  <c r="S10" i="39"/>
  <c r="C53" i="10"/>
  <c r="K5" i="54"/>
  <c r="A17" i="51"/>
  <c r="B13" i="63" s="1"/>
  <c r="S22" i="31"/>
  <c r="K141" i="21"/>
  <c r="K143" i="21"/>
  <c r="K144" i="21"/>
  <c r="BL165" i="3"/>
  <c r="BM5" i="3"/>
  <c r="F29" i="6" s="1"/>
  <c r="BK5" i="3"/>
  <c r="BE5" i="3"/>
  <c r="BI5" i="3"/>
  <c r="BN5" i="3"/>
  <c r="G29" i="6" s="1"/>
  <c r="BF5" i="3"/>
  <c r="BJ5" i="3"/>
  <c r="BS5" i="3"/>
  <c r="F3" i="35"/>
  <c r="K1" i="43"/>
  <c r="B6" i="1"/>
  <c r="E6" i="1" s="1"/>
  <c r="AP12" i="1"/>
  <c r="G12" i="1"/>
  <c r="AC28" i="33"/>
  <c r="W28" i="33"/>
  <c r="W37" i="33"/>
  <c r="AC37" i="33"/>
  <c r="J28" i="37"/>
  <c r="F28" i="37"/>
  <c r="J40" i="37"/>
  <c r="F40" i="37"/>
  <c r="H40" i="37"/>
  <c r="BL569" i="3"/>
  <c r="BA569" i="3"/>
  <c r="BA568" i="3"/>
  <c r="AZ568" i="3" s="1"/>
  <c r="BL566" i="3"/>
  <c r="BL561" i="3"/>
  <c r="BL559" i="3"/>
  <c r="BA559" i="3"/>
  <c r="BL557" i="3"/>
  <c r="BA557" i="3"/>
  <c r="BL502" i="3"/>
  <c r="AZ502" i="3" s="1"/>
  <c r="K33" i="9"/>
  <c r="K34" i="9" s="1"/>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s="1"/>
  <c r="U33" i="40"/>
  <c r="W17" i="21"/>
  <c r="W10" i="33"/>
  <c r="AB11" i="33"/>
  <c r="AC20" i="36"/>
  <c r="W20" i="36"/>
  <c r="AB33" i="37"/>
  <c r="F27" i="34"/>
  <c r="AA11" i="34"/>
  <c r="AC23" i="40"/>
  <c r="H70" i="46"/>
  <c r="H72" i="46"/>
  <c r="H34" i="40"/>
  <c r="AA45" i="39"/>
  <c r="AA15" i="39"/>
  <c r="AC27" i="39"/>
  <c r="W27" i="39"/>
  <c r="AC12" i="21"/>
  <c r="AC30" i="40"/>
  <c r="AZ525" i="3"/>
  <c r="AB8" i="35"/>
  <c r="AA10" i="33"/>
  <c r="S10" i="33"/>
  <c r="S26" i="21"/>
  <c r="AA43" i="21"/>
  <c r="AZ379" i="3"/>
  <c r="S11" i="35"/>
  <c r="AA11" i="35"/>
  <c r="AB44" i="21"/>
  <c r="U44" i="21"/>
  <c r="U12" i="21"/>
  <c r="AB12" i="21"/>
  <c r="U26" i="21"/>
  <c r="AB26" i="21"/>
  <c r="W34" i="21"/>
  <c r="AC9" i="21"/>
  <c r="W40" i="21"/>
  <c r="AC40" i="21"/>
  <c r="BL572" i="3"/>
  <c r="BA572" i="3"/>
  <c r="BL571" i="3"/>
  <c r="BA571" i="3"/>
  <c r="AZ571" i="3" s="1"/>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s="1"/>
  <c r="BL514" i="3"/>
  <c r="AZ514" i="3" s="1"/>
  <c r="BA512" i="3"/>
  <c r="AZ512" i="3" s="1"/>
  <c r="BL511" i="3"/>
  <c r="AZ511" i="3" s="1"/>
  <c r="BL20" i="3"/>
  <c r="BA20" i="3"/>
  <c r="AZ326" i="3"/>
  <c r="U17" i="37"/>
  <c r="AB17" i="37"/>
  <c r="U28" i="36"/>
  <c r="AB28" i="36"/>
  <c r="AA22" i="35"/>
  <c r="S22" i="35"/>
  <c r="S36" i="21"/>
  <c r="AA36" i="21"/>
  <c r="AC5" i="3"/>
  <c r="BA570" i="3"/>
  <c r="AZ570" i="3" s="1"/>
  <c r="AB33" i="33"/>
  <c r="U33" i="33"/>
  <c r="AA34" i="35"/>
  <c r="S34" i="35"/>
  <c r="H31" i="33"/>
  <c r="F31" i="33"/>
  <c r="H12" i="36"/>
  <c r="F12" i="36"/>
  <c r="J12" i="36"/>
  <c r="W25" i="37"/>
  <c r="AC25" i="37"/>
  <c r="AB30" i="37"/>
  <c r="U30" i="37"/>
  <c r="AC41" i="33"/>
  <c r="W41" i="33"/>
  <c r="BL551" i="3"/>
  <c r="BA551" i="3"/>
  <c r="BA536" i="3"/>
  <c r="AZ536" i="3" s="1"/>
  <c r="BL534" i="3"/>
  <c r="AZ534" i="3" s="1"/>
  <c r="BL533" i="3"/>
  <c r="AZ533" i="3" s="1"/>
  <c r="BL532" i="3"/>
  <c r="BA531" i="3"/>
  <c r="AZ531" i="3" s="1"/>
  <c r="BL493" i="3"/>
  <c r="BA493" i="3"/>
  <c r="BA492" i="3"/>
  <c r="AZ492" i="3" s="1"/>
  <c r="BL491" i="3"/>
  <c r="AZ491" i="3" s="1"/>
  <c r="AC8" i="21"/>
  <c r="W8" i="21"/>
  <c r="BT5" i="3"/>
  <c r="G28" i="6" s="1"/>
  <c r="F13" i="35"/>
  <c r="H13" i="35"/>
  <c r="H13" i="37"/>
  <c r="J13" i="37"/>
  <c r="H38" i="37"/>
  <c r="F38" i="37"/>
  <c r="G561" i="3"/>
  <c r="BL544" i="3"/>
  <c r="G543" i="3"/>
  <c r="J44" i="21"/>
  <c r="F44" i="21"/>
  <c r="BL541" i="3"/>
  <c r="AZ541" i="3" s="1"/>
  <c r="BA528" i="3"/>
  <c r="AZ528" i="3" s="1"/>
  <c r="BL527" i="3"/>
  <c r="AZ527" i="3" s="1"/>
  <c r="BA516" i="3"/>
  <c r="AZ516" i="3" s="1"/>
  <c r="BA505" i="3"/>
  <c r="AZ505" i="3" s="1"/>
  <c r="BA488" i="3"/>
  <c r="AZ488" i="3" s="1"/>
  <c r="BA487" i="3"/>
  <c r="AZ487" i="3" s="1"/>
  <c r="BL485" i="3"/>
  <c r="AZ485" i="3" s="1"/>
  <c r="AZ480" i="3"/>
  <c r="G528" i="3"/>
  <c r="G525" i="3"/>
  <c r="AZ412" i="3"/>
  <c r="K145" i="21"/>
  <c r="G398" i="3"/>
  <c r="BL398" i="3"/>
  <c r="AZ398" i="3" s="1"/>
  <c r="G403" i="3"/>
  <c r="BL403" i="3"/>
  <c r="AZ403" i="3" s="1"/>
  <c r="BL404" i="3"/>
  <c r="AZ404" i="3" s="1"/>
  <c r="G405" i="3"/>
  <c r="G409" i="3"/>
  <c r="BA410" i="3"/>
  <c r="AZ410" i="3" s="1"/>
  <c r="BA411" i="3"/>
  <c r="AZ411" i="3" s="1"/>
  <c r="BA414" i="3"/>
  <c r="AZ414" i="3" s="1"/>
  <c r="G418" i="3"/>
  <c r="BL418" i="3"/>
  <c r="AZ418" i="3" s="1"/>
  <c r="BL419" i="3"/>
  <c r="G420" i="3"/>
  <c r="G429" i="3"/>
  <c r="BA430" i="3"/>
  <c r="AZ430" i="3" s="1"/>
  <c r="BL432" i="3"/>
  <c r="AZ432" i="3" s="1"/>
  <c r="G439" i="3"/>
  <c r="BL439" i="3"/>
  <c r="AZ439" i="3" s="1"/>
  <c r="BL440" i="3"/>
  <c r="G441" i="3"/>
  <c r="BA445" i="3"/>
  <c r="AZ445" i="3" s="1"/>
  <c r="BL447" i="3"/>
  <c r="AZ447" i="3" s="1"/>
  <c r="BL448" i="3"/>
  <c r="G449" i="3"/>
  <c r="BA453" i="3"/>
  <c r="AZ453" i="3" s="1"/>
  <c r="BA460" i="3"/>
  <c r="AZ460" i="3" s="1"/>
  <c r="BL462" i="3"/>
  <c r="AZ462" i="3" s="1"/>
  <c r="BL465" i="3"/>
  <c r="AZ465" i="3" s="1"/>
  <c r="G472" i="3"/>
  <c r="G475" i="3"/>
  <c r="BL475" i="3"/>
  <c r="AZ475" i="3" s="1"/>
  <c r="BL476" i="3"/>
  <c r="AZ476" i="3" s="1"/>
  <c r="G477" i="3"/>
  <c r="BA479" i="3"/>
  <c r="AZ479" i="3" s="1"/>
  <c r="BL302" i="3"/>
  <c r="AZ302" i="3" s="1"/>
  <c r="BA309" i="3"/>
  <c r="AZ309" i="3" s="1"/>
  <c r="BL314" i="3"/>
  <c r="AZ314" i="3" s="1"/>
  <c r="BL318" i="3"/>
  <c r="AZ318" i="3" s="1"/>
  <c r="BL326" i="3"/>
  <c r="BA333" i="3"/>
  <c r="AZ333" i="3" s="1"/>
  <c r="BA337" i="3"/>
  <c r="AZ337" i="3" s="1"/>
  <c r="BL350" i="3"/>
  <c r="AZ350" i="3" s="1"/>
  <c r="G379" i="3"/>
  <c r="G383" i="3"/>
  <c r="G386" i="3"/>
  <c r="BA388" i="3"/>
  <c r="AZ388" i="3" s="1"/>
  <c r="AZ206" i="3"/>
  <c r="AZ208" i="3"/>
  <c r="BA217" i="3"/>
  <c r="AZ217" i="3" s="1"/>
  <c r="G221" i="3"/>
  <c r="BL222" i="3"/>
  <c r="AZ227" i="3"/>
  <c r="G234" i="3"/>
  <c r="BA236" i="3"/>
  <c r="AZ236" i="3" s="1"/>
  <c r="AZ238" i="3"/>
  <c r="AZ240" i="3"/>
  <c r="BA249" i="3"/>
  <c r="AZ249" i="3" s="1"/>
  <c r="G253" i="3"/>
  <c r="BL254" i="3"/>
  <c r="AZ259" i="3"/>
  <c r="G266" i="3"/>
  <c r="BA268" i="3"/>
  <c r="AZ268" i="3" s="1"/>
  <c r="BA271" i="3"/>
  <c r="AZ271" i="3" s="1"/>
  <c r="G277" i="3"/>
  <c r="G280" i="3"/>
  <c r="AZ285" i="3"/>
  <c r="BA291" i="3"/>
  <c r="AZ291" i="3" s="1"/>
  <c r="AZ129" i="3"/>
  <c r="AZ136" i="3"/>
  <c r="AZ198" i="3"/>
  <c r="AZ29" i="3"/>
  <c r="C18" i="9"/>
  <c r="AZ392" i="3"/>
  <c r="AZ419" i="3"/>
  <c r="AZ424" i="3"/>
  <c r="AZ440" i="3"/>
  <c r="AZ448" i="3"/>
  <c r="AZ457" i="3"/>
  <c r="AZ211" i="3"/>
  <c r="AZ222" i="3"/>
  <c r="AZ224" i="3"/>
  <c r="AZ243" i="3"/>
  <c r="AZ254" i="3"/>
  <c r="AZ256" i="3"/>
  <c r="AZ132" i="3"/>
  <c r="AZ64" i="3"/>
  <c r="D62" i="59"/>
  <c r="C61" i="59"/>
  <c r="T62" i="59"/>
  <c r="A30" i="64"/>
  <c r="A30" i="51"/>
  <c r="B22" i="63" s="1"/>
  <c r="BL390" i="3"/>
  <c r="AZ390" i="3" s="1"/>
  <c r="AZ393" i="3"/>
  <c r="BL396" i="3"/>
  <c r="AZ396" i="3" s="1"/>
  <c r="BL401" i="3"/>
  <c r="AZ401" i="3" s="1"/>
  <c r="BL407" i="3"/>
  <c r="AZ407" i="3" s="1"/>
  <c r="AZ413" i="3"/>
  <c r="BL416" i="3"/>
  <c r="AZ416" i="3" s="1"/>
  <c r="BL422" i="3"/>
  <c r="AZ422" i="3" s="1"/>
  <c r="AZ425" i="3"/>
  <c r="AZ435" i="3"/>
  <c r="BA443" i="3"/>
  <c r="AZ443" i="3" s="1"/>
  <c r="BA451" i="3"/>
  <c r="AZ451" i="3" s="1"/>
  <c r="BL455" i="3"/>
  <c r="AZ455" i="3" s="1"/>
  <c r="BA458" i="3"/>
  <c r="AZ458" i="3" s="1"/>
  <c r="AZ468" i="3"/>
  <c r="AZ478" i="3"/>
  <c r="AZ334" i="3"/>
  <c r="AZ387" i="3"/>
  <c r="AZ214" i="3"/>
  <c r="AZ216" i="3"/>
  <c r="AZ235" i="3"/>
  <c r="AZ246" i="3"/>
  <c r="AZ248" i="3"/>
  <c r="AZ267" i="3"/>
  <c r="AZ21" i="3"/>
  <c r="E17" i="59"/>
  <c r="E16" i="59" s="1"/>
  <c r="U18" i="59"/>
  <c r="Y15" i="59"/>
  <c r="Z15" i="59" s="1"/>
  <c r="Y17" i="59"/>
  <c r="Z17" i="59" s="1"/>
  <c r="Y16" i="59"/>
  <c r="Z16" i="59" s="1"/>
  <c r="C17" i="59"/>
  <c r="AZ116" i="3"/>
  <c r="AZ155" i="3"/>
  <c r="AZ25" i="3"/>
  <c r="R12" i="1"/>
  <c r="K12" i="1"/>
  <c r="E20" i="59"/>
  <c r="E21" i="59" s="1"/>
  <c r="E22" i="59" s="1"/>
  <c r="U22" i="59" s="1"/>
  <c r="AA19" i="59"/>
  <c r="P57" i="59"/>
  <c r="E56" i="59"/>
  <c r="AA13" i="59"/>
  <c r="A11" i="55"/>
  <c r="B62" i="63" s="1"/>
  <c r="BA286" i="3"/>
  <c r="AZ286" i="3" s="1"/>
  <c r="BA295" i="3"/>
  <c r="AZ295" i="3" s="1"/>
  <c r="BA115" i="3"/>
  <c r="AZ115" i="3" s="1"/>
  <c r="BA117" i="3"/>
  <c r="AZ117" i="3" s="1"/>
  <c r="BA119" i="3"/>
  <c r="AZ119" i="3" s="1"/>
  <c r="G121" i="3"/>
  <c r="BA125" i="3"/>
  <c r="AZ125" i="3" s="1"/>
  <c r="BA127" i="3"/>
  <c r="AZ127" i="3" s="1"/>
  <c r="G129" i="3"/>
  <c r="G131" i="3"/>
  <c r="BA137" i="3"/>
  <c r="AZ137" i="3" s="1"/>
  <c r="BA139" i="3"/>
  <c r="AZ139" i="3" s="1"/>
  <c r="BL148" i="3"/>
  <c r="AZ148" i="3" s="1"/>
  <c r="G150" i="3"/>
  <c r="BL152" i="3"/>
  <c r="BA156" i="3"/>
  <c r="AZ156" i="3" s="1"/>
  <c r="BA159" i="3"/>
  <c r="AZ159" i="3" s="1"/>
  <c r="BL164" i="3"/>
  <c r="BA167" i="3"/>
  <c r="AZ167" i="3" s="1"/>
  <c r="BA174" i="3"/>
  <c r="AZ174" i="3" s="1"/>
  <c r="BA179" i="3"/>
  <c r="AZ179" i="3" s="1"/>
  <c r="BA185" i="3"/>
  <c r="AZ185" i="3" s="1"/>
  <c r="BL190" i="3"/>
  <c r="AZ190" i="3" s="1"/>
  <c r="BL191" i="3"/>
  <c r="AZ191" i="3" s="1"/>
  <c r="BL195" i="3"/>
  <c r="AZ195" i="3" s="1"/>
  <c r="G200" i="3"/>
  <c r="BA37" i="3"/>
  <c r="AZ37" i="3" s="1"/>
  <c r="BA48" i="3"/>
  <c r="AZ48" i="3" s="1"/>
  <c r="BA59" i="3"/>
  <c r="G82" i="3"/>
  <c r="BL82" i="3"/>
  <c r="AZ82" i="3" s="1"/>
  <c r="BL83" i="3"/>
  <c r="G84" i="3"/>
  <c r="G102" i="3"/>
  <c r="BL102" i="3"/>
  <c r="AZ102" i="3" s="1"/>
  <c r="BL103" i="3"/>
  <c r="AZ103" i="3" s="1"/>
  <c r="G104" i="3"/>
  <c r="B13" i="59"/>
  <c r="B12" i="59" s="1"/>
  <c r="B11" i="59" s="1"/>
  <c r="B10" i="59" s="1"/>
  <c r="S14" i="59"/>
  <c r="BL283" i="3"/>
  <c r="AZ283" i="3" s="1"/>
  <c r="G290" i="3"/>
  <c r="BL294" i="3"/>
  <c r="AZ294" i="3" s="1"/>
  <c r="BL113" i="3"/>
  <c r="AZ113" i="3" s="1"/>
  <c r="BL118" i="3"/>
  <c r="AZ118" i="3" s="1"/>
  <c r="BL120" i="3"/>
  <c r="AZ120" i="3" s="1"/>
  <c r="BL126" i="3"/>
  <c r="AZ126" i="3" s="1"/>
  <c r="BL128" i="3"/>
  <c r="AZ128" i="3" s="1"/>
  <c r="BL130" i="3"/>
  <c r="AZ130" i="3" s="1"/>
  <c r="BL138" i="3"/>
  <c r="AZ138" i="3" s="1"/>
  <c r="BL149" i="3"/>
  <c r="AZ149" i="3" s="1"/>
  <c r="BA152" i="3"/>
  <c r="AZ152" i="3" s="1"/>
  <c r="BA154" i="3"/>
  <c r="AZ154" i="3" s="1"/>
  <c r="G156" i="3"/>
  <c r="G158" i="3"/>
  <c r="BA164" i="3"/>
  <c r="BA166" i="3"/>
  <c r="AZ166" i="3" s="1"/>
  <c r="G172" i="3"/>
  <c r="BL173" i="3"/>
  <c r="AZ173" i="3" s="1"/>
  <c r="AZ202" i="3"/>
  <c r="BA204" i="3"/>
  <c r="AZ204" i="3" s="1"/>
  <c r="G23" i="3"/>
  <c r="BA27" i="3"/>
  <c r="BL30" i="3"/>
  <c r="AZ30" i="3" s="1"/>
  <c r="BA36" i="3"/>
  <c r="BA51" i="3"/>
  <c r="AZ51" i="3" s="1"/>
  <c r="G58" i="3"/>
  <c r="BA63" i="3"/>
  <c r="AZ63" i="3" s="1"/>
  <c r="BA69" i="3"/>
  <c r="BA75" i="3"/>
  <c r="AZ75" i="3" s="1"/>
  <c r="BA89" i="3"/>
  <c r="BA95" i="3"/>
  <c r="AZ95" i="3" s="1"/>
  <c r="X24" i="59"/>
  <c r="X17" i="59"/>
  <c r="X18" i="59"/>
  <c r="BA172" i="3"/>
  <c r="AZ172" i="3" s="1"/>
  <c r="BL186" i="3"/>
  <c r="AZ186" i="3" s="1"/>
  <c r="BA201" i="3"/>
  <c r="AZ201" i="3" s="1"/>
  <c r="BL22" i="3"/>
  <c r="AZ22" i="3" s="1"/>
  <c r="BL27" i="3"/>
  <c r="BA31" i="3"/>
  <c r="AZ31" i="3" s="1"/>
  <c r="G35" i="3"/>
  <c r="BL35" i="3"/>
  <c r="AZ35" i="3" s="1"/>
  <c r="BL36" i="3"/>
  <c r="G37" i="3"/>
  <c r="G47" i="3"/>
  <c r="BL47" i="3"/>
  <c r="AZ47" i="3" s="1"/>
  <c r="BL50" i="3"/>
  <c r="AZ50" i="3" s="1"/>
  <c r="BL54" i="3"/>
  <c r="AZ54" i="3" s="1"/>
  <c r="BL59" i="3"/>
  <c r="BL69" i="3"/>
  <c r="BL74" i="3"/>
  <c r="AZ74" i="3" s="1"/>
  <c r="AZ83" i="3"/>
  <c r="BL89" i="3"/>
  <c r="BL94" i="3"/>
  <c r="AZ94" i="3" s="1"/>
  <c r="BA104" i="3"/>
  <c r="AZ104" i="3" s="1"/>
  <c r="AZ108" i="3"/>
  <c r="S31" i="39"/>
  <c r="C37" i="59"/>
  <c r="D37" i="59" s="1"/>
  <c r="AI10" i="46"/>
  <c r="AI12" i="46"/>
  <c r="AC12" i="46"/>
  <c r="AC10" i="46"/>
  <c r="BL171" i="3"/>
  <c r="AZ171" i="3" s="1"/>
  <c r="BA175" i="3"/>
  <c r="AZ175" i="3" s="1"/>
  <c r="BA180" i="3"/>
  <c r="AZ180" i="3" s="1"/>
  <c r="BA193" i="3"/>
  <c r="AZ193" i="3" s="1"/>
  <c r="BL199" i="3"/>
  <c r="AZ199" i="3" s="1"/>
  <c r="G26" i="3"/>
  <c r="BA33" i="3"/>
  <c r="AZ33" i="3" s="1"/>
  <c r="BA34" i="3"/>
  <c r="AZ34" i="3" s="1"/>
  <c r="G38" i="3"/>
  <c r="BA39" i="3"/>
  <c r="AZ39" i="3" s="1"/>
  <c r="BL41" i="3"/>
  <c r="AZ41" i="3" s="1"/>
  <c r="BL42" i="3"/>
  <c r="AZ42" i="3" s="1"/>
  <c r="G43" i="3"/>
  <c r="BA45" i="3"/>
  <c r="AZ45" i="3" s="1"/>
  <c r="BA46" i="3"/>
  <c r="AZ46" i="3" s="1"/>
  <c r="G49" i="3"/>
  <c r="G52" i="3"/>
  <c r="BL56" i="3"/>
  <c r="AZ56" i="3" s="1"/>
  <c r="G57" i="3"/>
  <c r="G61" i="3"/>
  <c r="G64" i="3"/>
  <c r="G67" i="3"/>
  <c r="BL71" i="3"/>
  <c r="AZ71" i="3" s="1"/>
  <c r="G72" i="3"/>
  <c r="G76" i="3"/>
  <c r="G79" i="3"/>
  <c r="BL79" i="3"/>
  <c r="AZ79" i="3" s="1"/>
  <c r="BL80" i="3"/>
  <c r="AZ80" i="3" s="1"/>
  <c r="G81" i="3"/>
  <c r="G87" i="3"/>
  <c r="BL91" i="3"/>
  <c r="AZ91" i="3" s="1"/>
  <c r="G92" i="3"/>
  <c r="G96" i="3"/>
  <c r="G99" i="3"/>
  <c r="BL99" i="3"/>
  <c r="AZ99" i="3" s="1"/>
  <c r="BL100" i="3"/>
  <c r="AZ100" i="3" s="1"/>
  <c r="G101" i="3"/>
  <c r="BL106" i="3"/>
  <c r="AZ106" i="3" s="1"/>
  <c r="G107" i="3"/>
  <c r="BA109" i="3"/>
  <c r="AZ109" i="3" s="1"/>
  <c r="BL111" i="3"/>
  <c r="AZ111" i="3" s="1"/>
  <c r="Y19" i="59"/>
  <c r="Z19" i="59" s="1"/>
  <c r="C20" i="59"/>
  <c r="Y18" i="59"/>
  <c r="Z18" i="59" s="1"/>
  <c r="Y20" i="59"/>
  <c r="Z20" i="59" s="1"/>
  <c r="Y21" i="59"/>
  <c r="Z21" i="59" s="1"/>
  <c r="C49" i="59"/>
  <c r="D48" i="59"/>
  <c r="D78" i="59"/>
  <c r="C77" i="59"/>
  <c r="AA15" i="59"/>
  <c r="AA16" i="59"/>
  <c r="AA17" i="59"/>
  <c r="AA3" i="59"/>
  <c r="AA18" i="59"/>
  <c r="A28" i="64"/>
  <c r="A28" i="51"/>
  <c r="I15" i="57"/>
  <c r="C31" i="39"/>
  <c r="B54" i="46"/>
  <c r="D57" i="59"/>
  <c r="C56" i="59"/>
  <c r="O57" i="59"/>
  <c r="B28" i="59"/>
  <c r="B29" i="59" s="1"/>
  <c r="B30" i="59" s="1"/>
  <c r="S30" i="59" s="1"/>
  <c r="X27" i="59"/>
  <c r="E28" i="59"/>
  <c r="E29" i="59" s="1"/>
  <c r="E30" i="59" s="1"/>
  <c r="U30" i="59" s="1"/>
  <c r="AA27" i="59"/>
  <c r="U66" i="59"/>
  <c r="E65" i="59"/>
  <c r="E64" i="59" s="1"/>
  <c r="T70" i="59"/>
  <c r="D70" i="59"/>
  <c r="C69" i="59"/>
  <c r="D74" i="59"/>
  <c r="C73" i="59"/>
  <c r="I10" i="57"/>
  <c r="D65" i="59"/>
  <c r="C64" i="59"/>
  <c r="D64" i="59" s="1"/>
  <c r="D28" i="59"/>
  <c r="C29" i="59"/>
  <c r="F61" i="59"/>
  <c r="F60" i="59" s="1"/>
  <c r="V62" i="59"/>
  <c r="S66" i="59"/>
  <c r="B65" i="59"/>
  <c r="B64" i="59" s="1"/>
  <c r="AA22" i="59"/>
  <c r="S27" i="40"/>
  <c r="S18" i="35"/>
  <c r="X23" i="59"/>
  <c r="B24" i="59"/>
  <c r="B25" i="59" s="1"/>
  <c r="B26" i="59" s="1"/>
  <c r="S26" i="59" s="1"/>
  <c r="AA20" i="59"/>
  <c r="Y24" i="59"/>
  <c r="Z24" i="59" s="1"/>
  <c r="Y25" i="59"/>
  <c r="Z25" i="59" s="1"/>
  <c r="Y26" i="59"/>
  <c r="Z26" i="59" s="1"/>
  <c r="Y27" i="59"/>
  <c r="Z27" i="59" s="1"/>
  <c r="F28" i="59"/>
  <c r="F29" i="59" s="1"/>
  <c r="F30" i="59" s="1"/>
  <c r="V30" i="59" s="1"/>
  <c r="AB23" i="59"/>
  <c r="C53" i="59"/>
  <c r="F18" i="59"/>
  <c r="AB18" i="59"/>
  <c r="AB17" i="59"/>
  <c r="AB27" i="59"/>
  <c r="AB25" i="59"/>
  <c r="AA23" i="59"/>
  <c r="X15" i="59"/>
  <c r="X16" i="59"/>
  <c r="X11" i="59"/>
  <c r="AA8" i="59"/>
  <c r="X6" i="59"/>
  <c r="AA5" i="59"/>
  <c r="C34" i="59"/>
  <c r="X3" i="59"/>
  <c r="X20" i="59"/>
  <c r="X21" i="59"/>
  <c r="X22" i="59"/>
  <c r="Y23" i="59"/>
  <c r="Z23" i="59" s="1"/>
  <c r="C24" i="59"/>
  <c r="AA25" i="59"/>
  <c r="S18" i="59"/>
  <c r="B17" i="59"/>
  <c r="B16" i="59" s="1"/>
  <c r="X19" i="59"/>
  <c r="Y13" i="59"/>
  <c r="Z13" i="59" s="1"/>
  <c r="P62" i="15"/>
  <c r="P75" i="15"/>
  <c r="AB8" i="59"/>
  <c r="AB13" i="59"/>
  <c r="X13" i="59"/>
  <c r="AB20" i="59"/>
  <c r="AB24" i="59"/>
  <c r="AA12" i="46"/>
  <c r="AB19" i="59"/>
  <c r="Y14" i="59"/>
  <c r="Z14" i="59" s="1"/>
  <c r="Y8" i="59"/>
  <c r="Z8" i="59" s="1"/>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5" i="46"/>
  <c r="B73" i="39" s="1"/>
  <c r="P21" i="46"/>
  <c r="C4" i="65"/>
  <c r="B39" i="1" s="1"/>
  <c r="L47" i="15"/>
  <c r="M26" i="71"/>
  <c r="M28" i="15"/>
  <c r="F26" i="71"/>
  <c r="M10" i="44"/>
  <c r="F9" i="44"/>
  <c r="M24" i="44"/>
  <c r="F13" i="71"/>
  <c r="F40" i="71"/>
  <c r="F10" i="44"/>
  <c r="F43" i="15"/>
  <c r="M29" i="71"/>
  <c r="M6" i="71"/>
  <c r="F42" i="15"/>
  <c r="M30" i="44"/>
  <c r="J36" i="15"/>
  <c r="F16" i="15"/>
  <c r="F38" i="44"/>
  <c r="F15" i="44"/>
  <c r="F16" i="71"/>
  <c r="F8" i="71"/>
  <c r="F13" i="15"/>
  <c r="M22" i="15"/>
  <c r="M31" i="44"/>
  <c r="F18" i="44"/>
  <c r="M29" i="44"/>
  <c r="M24" i="71"/>
  <c r="M8" i="71"/>
  <c r="F39" i="44"/>
  <c r="F42" i="71"/>
  <c r="M23" i="15"/>
  <c r="F40" i="15"/>
  <c r="M8" i="44"/>
  <c r="F26" i="15"/>
  <c r="F6" i="71"/>
  <c r="F43" i="71"/>
  <c r="F8" i="15"/>
  <c r="M29" i="15"/>
  <c r="I6" i="65"/>
  <c r="M26" i="44"/>
  <c r="F7" i="71"/>
  <c r="F37" i="15"/>
  <c r="F40" i="44"/>
  <c r="F8" i="44"/>
  <c r="M9" i="71"/>
  <c r="M27" i="71"/>
  <c r="M23" i="71"/>
  <c r="F37" i="71"/>
  <c r="L48" i="44"/>
  <c r="F36" i="71"/>
  <c r="I3" i="65"/>
  <c r="M28" i="71"/>
  <c r="F31" i="71"/>
  <c r="I7" i="65"/>
  <c r="M24" i="15"/>
  <c r="F28" i="44"/>
  <c r="J7" i="65"/>
  <c r="J15" i="71"/>
  <c r="F36" i="15"/>
  <c r="J6" i="65"/>
  <c r="M9" i="15"/>
  <c r="J4" i="65"/>
  <c r="M6" i="15"/>
  <c r="J3" i="65"/>
  <c r="F7" i="15"/>
  <c r="M8" i="15"/>
  <c r="J17" i="44"/>
  <c r="I5" i="65"/>
  <c r="F43" i="44"/>
  <c r="M27" i="15"/>
  <c r="J15" i="15"/>
  <c r="F9" i="15"/>
  <c r="F38" i="15"/>
  <c r="I4" i="65"/>
  <c r="M26" i="15"/>
  <c r="L48" i="71"/>
  <c r="M28" i="44"/>
  <c r="M11" i="44"/>
  <c r="M22" i="71"/>
  <c r="F6" i="15"/>
  <c r="L49" i="44"/>
  <c r="J5" i="65"/>
  <c r="F38" i="71"/>
  <c r="L48" i="15"/>
  <c r="F9" i="71"/>
  <c r="L47" i="71"/>
  <c r="J36" i="71"/>
  <c r="H7" i="37" l="1"/>
  <c r="H7" i="33"/>
  <c r="AZ81" i="3"/>
  <c r="AZ68" i="3"/>
  <c r="AZ66" i="3"/>
  <c r="AZ65" i="3"/>
  <c r="AZ62" i="3"/>
  <c r="AZ24" i="3"/>
  <c r="AZ194" i="3"/>
  <c r="AZ145" i="3"/>
  <c r="AZ279" i="3"/>
  <c r="AZ257" i="3"/>
  <c r="AZ230" i="3"/>
  <c r="AZ228" i="3"/>
  <c r="AZ212" i="3"/>
  <c r="AZ385" i="3"/>
  <c r="AZ466" i="3"/>
  <c r="AZ450" i="3"/>
  <c r="AZ415" i="3"/>
  <c r="F23" i="21"/>
  <c r="D45" i="59"/>
  <c r="C46" i="59"/>
  <c r="AZ32" i="3"/>
  <c r="AZ273" i="3"/>
  <c r="AZ253" i="3"/>
  <c r="AZ237" i="3"/>
  <c r="AZ232" i="3"/>
  <c r="AZ434" i="3"/>
  <c r="AZ561" i="3"/>
  <c r="W12" i="33"/>
  <c r="AC12" i="33"/>
  <c r="U23" i="21"/>
  <c r="AC23" i="39"/>
  <c r="S23" i="39"/>
  <c r="U23" i="39"/>
  <c r="AA13" i="39"/>
  <c r="AC23" i="21"/>
  <c r="U15" i="21"/>
  <c r="F65" i="71"/>
  <c r="C27" i="71"/>
  <c r="L56" i="71"/>
  <c r="L60" i="71"/>
  <c r="J57" i="71"/>
  <c r="J55" i="71" s="1"/>
  <c r="J58" i="71" s="1"/>
  <c r="Q51" i="71" s="1"/>
  <c r="L57" i="71"/>
  <c r="J53" i="71"/>
  <c r="I54" i="71"/>
  <c r="Q72" i="71"/>
  <c r="F70" i="71"/>
  <c r="M7" i="71"/>
  <c r="J6" i="71" s="1"/>
  <c r="J18" i="71" s="1"/>
  <c r="F49" i="71"/>
  <c r="F63" i="71"/>
  <c r="F50" i="71"/>
  <c r="L59" i="71"/>
  <c r="L58" i="71"/>
  <c r="C6" i="71"/>
  <c r="F67" i="71"/>
  <c r="F64" i="71"/>
  <c r="AZ164" i="3"/>
  <c r="G30" i="6"/>
  <c r="G31" i="6" s="1"/>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s="1"/>
  <c r="F11" i="71"/>
  <c r="W43" i="39"/>
  <c r="AB29" i="39"/>
  <c r="U17" i="39"/>
  <c r="G109" i="46"/>
  <c r="L59" i="15"/>
  <c r="Q62" i="15" s="1"/>
  <c r="L58" i="15"/>
  <c r="Q74" i="15" s="1"/>
  <c r="F64" i="15"/>
  <c r="F67" i="15"/>
  <c r="C27" i="15"/>
  <c r="C6" i="15"/>
  <c r="C32" i="15" s="1"/>
  <c r="Q72" i="15"/>
  <c r="F70" i="15"/>
  <c r="F50" i="15"/>
  <c r="F65" i="15"/>
  <c r="J53" i="15"/>
  <c r="F1" i="15" s="1"/>
  <c r="J57" i="15"/>
  <c r="J55" i="15" s="1"/>
  <c r="J58" i="15" s="1"/>
  <c r="Q51" i="15" s="1"/>
  <c r="I54" i="15"/>
  <c r="L56" i="15"/>
  <c r="F63" i="15"/>
  <c r="F49" i="15"/>
  <c r="M7" i="15"/>
  <c r="J6" i="15" s="1"/>
  <c r="H16" i="1"/>
  <c r="E109" i="46"/>
  <c r="D104" i="46"/>
  <c r="D115" i="46"/>
  <c r="E115" i="46" s="1"/>
  <c r="F115" i="46" s="1"/>
  <c r="G115" i="46" s="1"/>
  <c r="H115" i="46" s="1"/>
  <c r="AC13" i="46"/>
  <c r="BL5" i="3"/>
  <c r="C103" i="46"/>
  <c r="E105" i="46"/>
  <c r="G118" i="46"/>
  <c r="H118" i="46" s="1"/>
  <c r="L103" i="46"/>
  <c r="J103" i="46"/>
  <c r="K109" i="46"/>
  <c r="L109" i="46"/>
  <c r="J109" i="46"/>
  <c r="M105" i="46"/>
  <c r="I118" i="46"/>
  <c r="J118" i="46" s="1"/>
  <c r="K118" i="46" s="1"/>
  <c r="L118" i="46" s="1"/>
  <c r="M118" i="46" s="1"/>
  <c r="K107" i="46"/>
  <c r="D22" i="46"/>
  <c r="E5" i="6"/>
  <c r="D21" i="12" s="1"/>
  <c r="C21" i="12" s="1"/>
  <c r="I105" i="46"/>
  <c r="B117" i="46"/>
  <c r="C117" i="46" s="1"/>
  <c r="L102" i="46"/>
  <c r="M103" i="46"/>
  <c r="B116" i="46"/>
  <c r="C116" i="46" s="1"/>
  <c r="F27" i="6"/>
  <c r="E58" i="39"/>
  <c r="E53" i="40"/>
  <c r="AA13" i="46"/>
  <c r="J106" i="46"/>
  <c r="J107" i="46"/>
  <c r="J104" i="46"/>
  <c r="J105" i="46"/>
  <c r="G106" i="46"/>
  <c r="G104" i="46"/>
  <c r="D102" i="46"/>
  <c r="I104" i="46"/>
  <c r="N102" i="46"/>
  <c r="N107" i="46"/>
  <c r="AI13" i="46"/>
  <c r="D117" i="46"/>
  <c r="E117" i="46" s="1"/>
  <c r="F117" i="46" s="1"/>
  <c r="G117" i="46" s="1"/>
  <c r="H117" i="46" s="1"/>
  <c r="G105" i="46"/>
  <c r="I117" i="46"/>
  <c r="J117" i="46" s="1"/>
  <c r="K117" i="46" s="1"/>
  <c r="L117" i="46" s="1"/>
  <c r="M117" i="46" s="1"/>
  <c r="I116" i="46"/>
  <c r="J116" i="46" s="1"/>
  <c r="K116" i="46" s="1"/>
  <c r="L116" i="46" s="1"/>
  <c r="M116" i="46" s="1"/>
  <c r="N109" i="46"/>
  <c r="N104" i="46"/>
  <c r="N106" i="46"/>
  <c r="B118" i="46"/>
  <c r="C118" i="46" s="1"/>
  <c r="B115" i="46"/>
  <c r="C115" i="46" s="1"/>
  <c r="D107" i="46"/>
  <c r="M104" i="46"/>
  <c r="N103" i="46"/>
  <c r="I109" i="46"/>
  <c r="K105" i="46"/>
  <c r="H109" i="46"/>
  <c r="H104" i="46"/>
  <c r="H105" i="46"/>
  <c r="H103" i="46"/>
  <c r="H107" i="46"/>
  <c r="H102" i="46"/>
  <c r="E106" i="46"/>
  <c r="L107" i="46"/>
  <c r="K102" i="46"/>
  <c r="E104" i="46"/>
  <c r="D118" i="46"/>
  <c r="E118" i="46" s="1"/>
  <c r="F118" i="46" s="1"/>
  <c r="I115" i="46"/>
  <c r="J115" i="46" s="1"/>
  <c r="K115" i="46" s="1"/>
  <c r="L115" i="46" s="1"/>
  <c r="M115" i="46" s="1"/>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s="1"/>
  <c r="G16" i="1"/>
  <c r="J12" i="39" s="1"/>
  <c r="E20" i="46"/>
  <c r="O28" i="46" s="1"/>
  <c r="I1" i="65"/>
  <c r="J1" i="65"/>
  <c r="H7" i="35"/>
  <c r="AB7" i="35" s="1"/>
  <c r="T38" i="35" s="1"/>
  <c r="G38" i="35" s="1"/>
  <c r="P23" i="46"/>
  <c r="C19" i="46"/>
  <c r="F7" i="35"/>
  <c r="AA7" i="35" s="1"/>
  <c r="R38" i="35" s="1"/>
  <c r="J7" i="37"/>
  <c r="AC7" i="37" s="1"/>
  <c r="V42" i="37" s="1"/>
  <c r="I42" i="37" s="1"/>
  <c r="D65" i="40"/>
  <c r="C67" i="40"/>
  <c r="D70" i="39"/>
  <c r="C72" i="39"/>
  <c r="C8" i="44"/>
  <c r="C34" i="44" s="1"/>
  <c r="Q73" i="44"/>
  <c r="C29" i="44"/>
  <c r="L60" i="44"/>
  <c r="Q76" i="44" s="1"/>
  <c r="L59" i="44"/>
  <c r="Q62" i="44" s="1"/>
  <c r="J58" i="44"/>
  <c r="J56" i="44" s="1"/>
  <c r="J59" i="44" s="1"/>
  <c r="Q52" i="44" s="1"/>
  <c r="L57" i="44"/>
  <c r="I55" i="44"/>
  <c r="J60" i="44"/>
  <c r="J54" i="44"/>
  <c r="Q54" i="44" s="1"/>
  <c r="J61" i="44"/>
  <c r="Q50" i="44" s="1"/>
  <c r="M9" i="44"/>
  <c r="O56" i="59"/>
  <c r="D56" i="59"/>
  <c r="O55" i="59"/>
  <c r="S13" i="35"/>
  <c r="AA13" i="35"/>
  <c r="AC9" i="34"/>
  <c r="W9" i="34"/>
  <c r="R22" i="31"/>
  <c r="B21" i="31" s="1"/>
  <c r="B20" i="31"/>
  <c r="AC12" i="37"/>
  <c r="W12" i="37"/>
  <c r="S45" i="33"/>
  <c r="AA45" i="33"/>
  <c r="AC23" i="35"/>
  <c r="W23" i="35"/>
  <c r="AC7" i="33"/>
  <c r="V48" i="33" s="1"/>
  <c r="I48" i="33" s="1"/>
  <c r="W7" i="33"/>
  <c r="T34" i="59"/>
  <c r="D34" i="59"/>
  <c r="V18" i="59"/>
  <c r="F17" i="59"/>
  <c r="F16" i="59" s="1"/>
  <c r="N4" i="63"/>
  <c r="B21" i="63"/>
  <c r="AZ89" i="3"/>
  <c r="AZ27" i="3"/>
  <c r="B9" i="59"/>
  <c r="B8" i="59" s="1"/>
  <c r="B7" i="59" s="1"/>
  <c r="B6" i="59" s="1"/>
  <c r="B5" i="59" s="1"/>
  <c r="S10" i="59"/>
  <c r="P56" i="59"/>
  <c r="P55" i="59"/>
  <c r="M12" i="1"/>
  <c r="Q16" i="1"/>
  <c r="Q18" i="1" s="1"/>
  <c r="AC13" i="37"/>
  <c r="W13" i="37"/>
  <c r="AZ551" i="3"/>
  <c r="AC12" i="36"/>
  <c r="W12" i="36"/>
  <c r="U31" i="33"/>
  <c r="AB31" i="33"/>
  <c r="S9" i="37"/>
  <c r="AA9" i="37"/>
  <c r="AB13" i="36"/>
  <c r="U13" i="36"/>
  <c r="U45" i="21"/>
  <c r="AB45" i="21"/>
  <c r="W29" i="21"/>
  <c r="AC29" i="21"/>
  <c r="AZ557" i="3"/>
  <c r="AA40" i="37"/>
  <c r="S40" i="37"/>
  <c r="E29" i="6"/>
  <c r="BA5" i="3"/>
  <c r="E27" i="6" s="1"/>
  <c r="AZ13" i="3"/>
  <c r="AZ558" i="3"/>
  <c r="W14" i="39"/>
  <c r="AC14" i="39"/>
  <c r="W26" i="37"/>
  <c r="AC26" i="37"/>
  <c r="W34" i="36"/>
  <c r="AC34" i="36"/>
  <c r="AB45" i="33"/>
  <c r="U45" i="33"/>
  <c r="F28" i="6"/>
  <c r="AZ562" i="3"/>
  <c r="AA9" i="36"/>
  <c r="S9" i="36"/>
  <c r="W27" i="34"/>
  <c r="AC27" i="34"/>
  <c r="W46" i="21"/>
  <c r="AC46" i="21"/>
  <c r="AA14" i="21"/>
  <c r="S14" i="21"/>
  <c r="W34" i="40"/>
  <c r="AC34" i="40"/>
  <c r="AC7" i="35"/>
  <c r="V38" i="35" s="1"/>
  <c r="I38" i="35" s="1"/>
  <c r="W7" i="35"/>
  <c r="C8" i="59"/>
  <c r="D9" i="59"/>
  <c r="U7" i="36"/>
  <c r="AB7" i="36"/>
  <c r="T36" i="36" s="1"/>
  <c r="G36" i="36" s="1"/>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s="1"/>
  <c r="S7" i="36"/>
  <c r="AA7" i="33"/>
  <c r="R48" i="33" s="1"/>
  <c r="S7" i="33"/>
  <c r="D53" i="59"/>
  <c r="C54" i="59"/>
  <c r="D69" i="59"/>
  <c r="C68" i="59"/>
  <c r="D68" i="59" s="1"/>
  <c r="AZ59" i="3"/>
  <c r="D17" i="59"/>
  <c r="C16" i="59"/>
  <c r="D16" i="59" s="1"/>
  <c r="C60" i="59"/>
  <c r="D60" i="59" s="1"/>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s="1"/>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s="1"/>
  <c r="E67" i="3" s="1"/>
  <c r="W7" i="36"/>
  <c r="AC7" i="36"/>
  <c r="V36" i="36" s="1"/>
  <c r="I36" i="36" s="1"/>
  <c r="K31" i="9"/>
  <c r="K32" i="9" s="1"/>
  <c r="R7" i="54"/>
  <c r="B52" i="63" s="1"/>
  <c r="AA7" i="37"/>
  <c r="R42" i="37" s="1"/>
  <c r="S7" i="37"/>
  <c r="G58" i="21"/>
  <c r="C72" i="59"/>
  <c r="D72" i="59" s="1"/>
  <c r="D73" i="59"/>
  <c r="D77" i="59"/>
  <c r="C76" i="59"/>
  <c r="D76" i="59" s="1"/>
  <c r="AB38" i="37"/>
  <c r="U38" i="37"/>
  <c r="W35" i="35"/>
  <c r="AC35" i="35"/>
  <c r="S29" i="21"/>
  <c r="AA29" i="21"/>
  <c r="D24" i="59"/>
  <c r="C25" i="59"/>
  <c r="C30" i="59"/>
  <c r="D29" i="59"/>
  <c r="I21" i="57"/>
  <c r="D1" i="57" s="1"/>
  <c r="E10" i="57" s="1"/>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s="1"/>
  <c r="AB26" i="37"/>
  <c r="U26" i="37"/>
  <c r="S12" i="37"/>
  <c r="AA12" i="37"/>
  <c r="S34" i="36"/>
  <c r="AA34" i="36"/>
  <c r="AA14" i="34"/>
  <c r="S14" i="34"/>
  <c r="U29" i="33"/>
  <c r="AB29" i="33"/>
  <c r="AC46" i="39"/>
  <c r="W46" i="39"/>
  <c r="U9" i="36"/>
  <c r="AB9" i="36"/>
  <c r="U46" i="21"/>
  <c r="AB46" i="21"/>
  <c r="U30" i="21"/>
  <c r="AB30" i="21"/>
  <c r="U14" i="21"/>
  <c r="AB14" i="21"/>
  <c r="P6" i="1"/>
  <c r="C15" i="12" s="1"/>
  <c r="AB7" i="37"/>
  <c r="T42" i="37" s="1"/>
  <c r="G42" i="37" s="1"/>
  <c r="U7" i="37"/>
  <c r="F59" i="34"/>
  <c r="G59" i="34" s="1"/>
  <c r="H59" i="34" s="1"/>
  <c r="I59" i="34" s="1"/>
  <c r="J59" i="34" s="1"/>
  <c r="K59" i="34" s="1"/>
  <c r="L59" i="34" s="1"/>
  <c r="M59" i="34" s="1"/>
  <c r="N59" i="34" s="1"/>
  <c r="O59" i="34" s="1"/>
  <c r="F7" i="34"/>
  <c r="S7" i="35"/>
  <c r="U7" i="33"/>
  <c r="AB7" i="33"/>
  <c r="T48" i="33" s="1"/>
  <c r="G48" i="33" s="1"/>
  <c r="W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M13" i="44"/>
  <c r="J12" i="44" s="1"/>
  <c r="F11" i="15"/>
  <c r="M11" i="15"/>
  <c r="J10" i="15" s="1"/>
  <c r="F13" i="44"/>
  <c r="C12" i="44" s="1"/>
  <c r="AE8" i="1"/>
  <c r="C16" i="15"/>
  <c r="C16" i="71"/>
  <c r="F58" i="71"/>
  <c r="F46" i="44"/>
  <c r="E3" i="65"/>
  <c r="M19" i="44"/>
  <c r="M17" i="15"/>
  <c r="C18" i="44"/>
  <c r="F31" i="15"/>
  <c r="F41" i="15"/>
  <c r="F58" i="15"/>
  <c r="F33" i="44"/>
  <c r="M17" i="71"/>
  <c r="E2" i="65"/>
  <c r="J7" i="34" l="1"/>
  <c r="W7" i="34" s="1"/>
  <c r="T46" i="59"/>
  <c r="D46" i="59"/>
  <c r="AA23" i="21"/>
  <c r="S23" i="21"/>
  <c r="J5" i="71"/>
  <c r="J24" i="71" s="1"/>
  <c r="K15" i="1"/>
  <c r="L19" i="6"/>
  <c r="L27" i="6" s="1"/>
  <c r="D42" i="59"/>
  <c r="T42" i="59"/>
  <c r="Q61" i="71"/>
  <c r="Q74" i="71"/>
  <c r="C48" i="71"/>
  <c r="Q58" i="71"/>
  <c r="Q67" i="71"/>
  <c r="C32" i="71"/>
  <c r="C33" i="71"/>
  <c r="Q62" i="71"/>
  <c r="Q75" i="71"/>
  <c r="Q53" i="71"/>
  <c r="F1" i="71"/>
  <c r="C10" i="71"/>
  <c r="C5" i="71" s="1"/>
  <c r="C52" i="71"/>
  <c r="F68" i="15"/>
  <c r="C48" i="15"/>
  <c r="Q61" i="15"/>
  <c r="Q75" i="15"/>
  <c r="Q53" i="15"/>
  <c r="D12" i="11"/>
  <c r="C12" i="11" s="1"/>
  <c r="H12" i="39"/>
  <c r="AB12" i="39" s="1"/>
  <c r="E418" i="3"/>
  <c r="E37" i="3"/>
  <c r="E441" i="3"/>
  <c r="E475" i="3"/>
  <c r="E107" i="3"/>
  <c r="E379" i="3"/>
  <c r="E156" i="3"/>
  <c r="E420" i="3"/>
  <c r="E253" i="3"/>
  <c r="E403" i="3"/>
  <c r="E92" i="3"/>
  <c r="E76" i="3"/>
  <c r="E158" i="3"/>
  <c r="E121" i="3"/>
  <c r="E47" i="3"/>
  <c r="E99" i="3"/>
  <c r="E38" i="3"/>
  <c r="E26" i="3"/>
  <c r="E439" i="3"/>
  <c r="E82" i="3"/>
  <c r="D113" i="46"/>
  <c r="J22" i="46" s="1"/>
  <c r="H12" i="40"/>
  <c r="U12" i="40" s="1"/>
  <c r="J12" i="40"/>
  <c r="W12" i="40" s="1"/>
  <c r="F12" i="39"/>
  <c r="AA12" i="39" s="1"/>
  <c r="C7" i="44"/>
  <c r="C40" i="44" s="1"/>
  <c r="F12" i="40"/>
  <c r="AA12" i="40" s="1"/>
  <c r="P28" i="46"/>
  <c r="M28" i="46"/>
  <c r="F1" i="44"/>
  <c r="Q63" i="44"/>
  <c r="N28" i="46"/>
  <c r="F17" i="11"/>
  <c r="C17" i="11" s="1"/>
  <c r="B40" i="1"/>
  <c r="U7" i="35"/>
  <c r="D72" i="39"/>
  <c r="E70" i="39"/>
  <c r="D67" i="40"/>
  <c r="E65" i="40"/>
  <c r="D30" i="59"/>
  <c r="T30" i="59"/>
  <c r="E59" i="40"/>
  <c r="E64" i="39"/>
  <c r="E36" i="36"/>
  <c r="R37" i="36"/>
  <c r="I42" i="35"/>
  <c r="J42" i="35" s="1"/>
  <c r="F30" i="6"/>
  <c r="F31" i="6" s="1"/>
  <c r="E28" i="6"/>
  <c r="Q75" i="44"/>
  <c r="AC7" i="34"/>
  <c r="V49" i="34" s="1"/>
  <c r="I49" i="34" s="1"/>
  <c r="I46" i="37"/>
  <c r="J46" i="37" s="1"/>
  <c r="E38" i="35"/>
  <c r="I43" i="35" s="1"/>
  <c r="J43" i="35" s="1"/>
  <c r="R39" i="35"/>
  <c r="G47" i="37"/>
  <c r="H47" i="37" s="1"/>
  <c r="G46" i="37"/>
  <c r="H46" i="37" s="1"/>
  <c r="E409" i="3"/>
  <c r="E221" i="3"/>
  <c r="E57" i="3"/>
  <c r="E65" i="39"/>
  <c r="E60" i="40"/>
  <c r="E62" i="40"/>
  <c r="E67" i="39"/>
  <c r="E129" i="3"/>
  <c r="E290" i="3"/>
  <c r="E35" i="3"/>
  <c r="E72" i="3"/>
  <c r="T54" i="59"/>
  <c r="D54" i="59"/>
  <c r="E405" i="3"/>
  <c r="E79" i="3"/>
  <c r="E398" i="3"/>
  <c r="E277" i="3"/>
  <c r="E200" i="3"/>
  <c r="E64" i="3"/>
  <c r="E101" i="3"/>
  <c r="I52" i="33"/>
  <c r="J52" i="33" s="1"/>
  <c r="E266" i="3"/>
  <c r="F33" i="12"/>
  <c r="C34" i="12" s="1"/>
  <c r="D33" i="12" s="1"/>
  <c r="F24" i="43"/>
  <c r="C26" i="43" s="1"/>
  <c r="D24" i="43" s="1"/>
  <c r="F18" i="11"/>
  <c r="C18" i="11" s="1"/>
  <c r="G52" i="33"/>
  <c r="H52" i="33" s="1"/>
  <c r="G53" i="33"/>
  <c r="H53" i="33" s="1"/>
  <c r="AA7" i="34"/>
  <c r="R49" i="34" s="1"/>
  <c r="S7" i="34"/>
  <c r="E525" i="3"/>
  <c r="E429" i="3"/>
  <c r="D21" i="59"/>
  <c r="C22" i="59"/>
  <c r="C26" i="59"/>
  <c r="D25" i="59"/>
  <c r="E234" i="3"/>
  <c r="I40" i="36"/>
  <c r="J40" i="36" s="1"/>
  <c r="E66" i="39"/>
  <c r="E61" i="40"/>
  <c r="E561" i="3"/>
  <c r="M44" i="9"/>
  <c r="E84" i="3"/>
  <c r="E172" i="3"/>
  <c r="E49" i="3"/>
  <c r="E543" i="3"/>
  <c r="E472" i="3"/>
  <c r="G41" i="36"/>
  <c r="H41" i="36" s="1"/>
  <c r="G40" i="36"/>
  <c r="H40" i="36" s="1"/>
  <c r="E449" i="3"/>
  <c r="O12" i="1"/>
  <c r="P12" i="1" s="1"/>
  <c r="E131" i="3"/>
  <c r="E102" i="3"/>
  <c r="E43" i="3"/>
  <c r="E81" i="3"/>
  <c r="G43" i="35"/>
  <c r="H43" i="35" s="1"/>
  <c r="G42" i="35"/>
  <c r="H42" i="35" s="1"/>
  <c r="W12" i="39"/>
  <c r="AC12" i="39"/>
  <c r="E477" i="3"/>
  <c r="J8" i="44"/>
  <c r="J20" i="44" s="1"/>
  <c r="D50" i="59"/>
  <c r="T50" i="59"/>
  <c r="E42" i="37"/>
  <c r="I47" i="37" s="1"/>
  <c r="J47" i="37" s="1"/>
  <c r="R43" i="37"/>
  <c r="H58" i="21"/>
  <c r="I58" i="21" s="1"/>
  <c r="J58" i="21" s="1"/>
  <c r="K58" i="21" s="1"/>
  <c r="L58" i="21" s="1"/>
  <c r="M58" i="21" s="1"/>
  <c r="N58" i="21" s="1"/>
  <c r="O58" i="21" s="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52" i="15"/>
  <c r="C10" i="15"/>
  <c r="C5" i="15" s="1"/>
  <c r="AE7" i="1"/>
  <c r="F7" i="67"/>
  <c r="L52" i="44"/>
  <c r="F41" i="71"/>
  <c r="J26" i="71" l="1"/>
  <c r="J29" i="71" s="1"/>
  <c r="U12" i="39"/>
  <c r="F68" i="71"/>
  <c r="C47" i="71"/>
  <c r="C59" i="71" s="1"/>
  <c r="F26" i="44"/>
  <c r="C26" i="44" s="1"/>
  <c r="F24" i="71"/>
  <c r="C38" i="71"/>
  <c r="C47" i="15"/>
  <c r="C65" i="15" s="1"/>
  <c r="H6" i="3"/>
  <c r="AB12" i="40"/>
  <c r="AC12" i="40"/>
  <c r="AC6" i="3"/>
  <c r="S12" i="39"/>
  <c r="C19" i="11"/>
  <c r="C20" i="11" s="1"/>
  <c r="C21" i="11" s="1"/>
  <c r="C22" i="11" s="1"/>
  <c r="C23" i="11" s="1"/>
  <c r="B2" i="11" s="1"/>
  <c r="S12" i="40"/>
  <c r="F26" i="12"/>
  <c r="C27" i="12" s="1"/>
  <c r="D26" i="12" s="1"/>
  <c r="C32" i="12" s="1"/>
  <c r="D30" i="12" s="1"/>
  <c r="F24" i="15"/>
  <c r="C24" i="15" s="1"/>
  <c r="F21" i="43"/>
  <c r="C23" i="43" s="1"/>
  <c r="D21" i="43" s="1"/>
  <c r="F65" i="40"/>
  <c r="E67" i="40"/>
  <c r="E72" i="39"/>
  <c r="F70" i="39"/>
  <c r="C48" i="33"/>
  <c r="C49" i="33"/>
  <c r="B3" i="33" s="1"/>
  <c r="B2" i="33" s="1"/>
  <c r="AB7" i="34"/>
  <c r="T49" i="34" s="1"/>
  <c r="G49" i="34" s="1"/>
  <c r="U7" i="34"/>
  <c r="E52" i="33"/>
  <c r="F52" i="33" s="1"/>
  <c r="E53" i="33"/>
  <c r="F53" i="33" s="1"/>
  <c r="D22" i="59"/>
  <c r="T22" i="59"/>
  <c r="I53" i="34"/>
  <c r="J53" i="34" s="1"/>
  <c r="K22" i="6"/>
  <c r="M22" i="6" s="1"/>
  <c r="I22" i="6" s="1"/>
  <c r="S22" i="6" s="1"/>
  <c r="K23" i="6"/>
  <c r="M23" i="6" s="1"/>
  <c r="I23" i="6" s="1"/>
  <c r="S23" i="6" s="1"/>
  <c r="K14" i="1"/>
  <c r="E30" i="6"/>
  <c r="E31" i="6" s="1"/>
  <c r="K19" i="6"/>
  <c r="S6" i="1" s="1"/>
  <c r="K21" i="6"/>
  <c r="K20" i="6"/>
  <c r="K24" i="6"/>
  <c r="M24" i="6" s="1"/>
  <c r="I24" i="6" s="1"/>
  <c r="S24" i="6" s="1"/>
  <c r="K26" i="6"/>
  <c r="M26" i="6" s="1"/>
  <c r="I26" i="6" s="1"/>
  <c r="S26" i="6" s="1"/>
  <c r="K25" i="6"/>
  <c r="M25" i="6" s="1"/>
  <c r="I25" i="6" s="1"/>
  <c r="S25" i="6" s="1"/>
  <c r="C36" i="36"/>
  <c r="C37" i="36"/>
  <c r="B3" i="36" s="1"/>
  <c r="B2" i="36" s="1"/>
  <c r="D7" i="59"/>
  <c r="C6" i="59"/>
  <c r="C42" i="37"/>
  <c r="C43" i="37"/>
  <c r="B3" i="37" s="1"/>
  <c r="B2" i="37" s="1"/>
  <c r="E41" i="36"/>
  <c r="F41" i="36" s="1"/>
  <c r="E40" i="36"/>
  <c r="F40" i="36" s="1"/>
  <c r="F7" i="21"/>
  <c r="E46" i="37"/>
  <c r="F46" i="37" s="1"/>
  <c r="E47" i="37"/>
  <c r="F47" i="37" s="1"/>
  <c r="I41" i="36"/>
  <c r="J41" i="36" s="1"/>
  <c r="I53" i="33"/>
  <c r="J53" i="33" s="1"/>
  <c r="C39" i="35"/>
  <c r="B3" i="35" s="1"/>
  <c r="B2" i="35" s="1"/>
  <c r="C38" i="35"/>
  <c r="J7" i="44"/>
  <c r="AY6" i="3"/>
  <c r="E3" i="6"/>
  <c r="T26" i="59"/>
  <c r="D26" i="59"/>
  <c r="R50" i="34"/>
  <c r="E49" i="34"/>
  <c r="J7" i="21"/>
  <c r="E42" i="35"/>
  <c r="F42" i="35" s="1"/>
  <c r="E43" i="35"/>
  <c r="F43" i="35" s="1"/>
  <c r="H7" i="21"/>
  <c r="E4" i="67"/>
  <c r="C26" i="46"/>
  <c r="C27" i="46"/>
  <c r="Q69" i="44"/>
  <c r="L58" i="44"/>
  <c r="L61" i="44" s="1"/>
  <c r="L47" i="44" s="1"/>
  <c r="J26" i="15"/>
  <c r="J29" i="15" s="1"/>
  <c r="J24" i="15"/>
  <c r="C38" i="15"/>
  <c r="E7" i="67"/>
  <c r="J33" i="21" l="1"/>
  <c r="F33" i="21"/>
  <c r="H33" i="21"/>
  <c r="C65" i="71"/>
  <c r="C60" i="71"/>
  <c r="C24" i="71"/>
  <c r="C59" i="15"/>
  <c r="M20" i="6"/>
  <c r="I20" i="6" s="1"/>
  <c r="S20" i="6" s="1"/>
  <c r="S7" i="1"/>
  <c r="M21" i="6"/>
  <c r="I21" i="6" s="1"/>
  <c r="S21" i="6" s="1"/>
  <c r="S8" i="1"/>
  <c r="E6" i="3"/>
  <c r="F72" i="39"/>
  <c r="G70" i="39"/>
  <c r="F67" i="40"/>
  <c r="G65" i="40"/>
  <c r="AC7" i="21"/>
  <c r="W7" i="21"/>
  <c r="J28" i="44"/>
  <c r="J31" i="44" s="1"/>
  <c r="J26" i="44"/>
  <c r="S7" i="21"/>
  <c r="AA7" i="21"/>
  <c r="K27" i="6"/>
  <c r="M19" i="6"/>
  <c r="G53" i="34"/>
  <c r="H53" i="34" s="1"/>
  <c r="G54" i="34"/>
  <c r="H54" i="34" s="1"/>
  <c r="AB7" i="21"/>
  <c r="U7" i="21"/>
  <c r="E54" i="34"/>
  <c r="F54" i="34" s="1"/>
  <c r="E53" i="34"/>
  <c r="F53" i="34" s="1"/>
  <c r="D16" i="43"/>
  <c r="C16" i="43" s="1"/>
  <c r="E6" i="6"/>
  <c r="L38" i="9"/>
  <c r="B14" i="66" s="1"/>
  <c r="D10" i="11"/>
  <c r="D16" i="12"/>
  <c r="C21" i="4"/>
  <c r="O5" i="54" s="1"/>
  <c r="B45" i="63" s="1"/>
  <c r="D46" i="9"/>
  <c r="D45" i="9"/>
  <c r="I54" i="34"/>
  <c r="J54" i="34" s="1"/>
  <c r="B3" i="11"/>
  <c r="C49" i="34"/>
  <c r="C50" i="34"/>
  <c r="B3" i="34" s="1"/>
  <c r="B2" i="34"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s="1"/>
  <c r="D6" i="59"/>
  <c r="M20" i="46" s="1"/>
  <c r="M14" i="1"/>
  <c r="K16" i="1"/>
  <c r="E3" i="67"/>
  <c r="B2" i="46"/>
  <c r="Q68" i="44"/>
  <c r="Q59" i="44"/>
  <c r="C19" i="44"/>
  <c r="C17" i="15"/>
  <c r="B7" i="67"/>
  <c r="C17" i="71"/>
  <c r="S33" i="21" l="1"/>
  <c r="AA33" i="21"/>
  <c r="R48" i="21" s="1"/>
  <c r="AB33" i="21"/>
  <c r="T48" i="21" s="1"/>
  <c r="G48" i="21" s="1"/>
  <c r="U33" i="21"/>
  <c r="W33" i="21"/>
  <c r="AC33" i="21"/>
  <c r="V48" i="21" s="1"/>
  <c r="I48" i="21" s="1"/>
  <c r="I52" i="21" s="1"/>
  <c r="J52" i="21" s="1"/>
  <c r="S16" i="1"/>
  <c r="T8" i="1" s="1"/>
  <c r="H65" i="40"/>
  <c r="G67" i="40"/>
  <c r="H70" i="39"/>
  <c r="G72" i="39"/>
  <c r="D19" i="12"/>
  <c r="C19" i="12" s="1"/>
  <c r="C16" i="12"/>
  <c r="D22" i="12"/>
  <c r="C22" i="12" s="1"/>
  <c r="C20" i="12" s="1"/>
  <c r="D13" i="11"/>
  <c r="C13" i="11" s="1"/>
  <c r="I19" i="6"/>
  <c r="H19" i="6" s="1"/>
  <c r="M27" i="6"/>
  <c r="O14" i="1"/>
  <c r="O16" i="1" s="1"/>
  <c r="T12" i="1"/>
  <c r="M16" i="1"/>
  <c r="D21" i="6"/>
  <c r="H21" i="6"/>
  <c r="D14" i="6"/>
  <c r="H23" i="6"/>
  <c r="E68" i="39"/>
  <c r="D24" i="6"/>
  <c r="D11" i="6"/>
  <c r="D9" i="6"/>
  <c r="D15" i="6"/>
  <c r="D25" i="6"/>
  <c r="D6" i="6"/>
  <c r="D8" i="6"/>
  <c r="K38" i="9"/>
  <c r="C14" i="66" s="1"/>
  <c r="H25" i="6"/>
  <c r="H26" i="6"/>
  <c r="D19" i="6"/>
  <c r="D23" i="6"/>
  <c r="D26" i="6"/>
  <c r="D5" i="6"/>
  <c r="F46" i="9"/>
  <c r="E63" i="40"/>
  <c r="D13" i="6"/>
  <c r="D20" i="6"/>
  <c r="D12" i="6"/>
  <c r="H22" i="6"/>
  <c r="H24" i="6"/>
  <c r="D10" i="6"/>
  <c r="D28" i="6"/>
  <c r="D22" i="6"/>
  <c r="D29" i="6"/>
  <c r="C22" i="4"/>
  <c r="E45" i="9"/>
  <c r="H20" i="6"/>
  <c r="F45" i="9"/>
  <c r="E46" i="9"/>
  <c r="B5" i="11"/>
  <c r="B4" i="11"/>
  <c r="Q49" i="44"/>
  <c r="Q55" i="44" s="1"/>
  <c r="Q58" i="44"/>
  <c r="Q64" i="44" s="1"/>
  <c r="Q67" i="44"/>
  <c r="Q77" i="44" s="1"/>
  <c r="B2" i="67"/>
  <c r="D4" i="46"/>
  <c r="B3" i="46"/>
  <c r="B4" i="46"/>
  <c r="C14" i="15"/>
  <c r="C16" i="44"/>
  <c r="R49" i="21" l="1"/>
  <c r="C48" i="21" s="1"/>
  <c r="E48" i="21"/>
  <c r="E53" i="21" s="1"/>
  <c r="F53" i="21" s="1"/>
  <c r="G53" i="21"/>
  <c r="H53" i="21" s="1"/>
  <c r="G52" i="21"/>
  <c r="H52" i="21" s="1"/>
  <c r="T9" i="1"/>
  <c r="T13" i="1"/>
  <c r="T11" i="1"/>
  <c r="T6" i="1"/>
  <c r="T10" i="1"/>
  <c r="T7" i="1"/>
  <c r="J59" i="71"/>
  <c r="J60" i="71" s="1"/>
  <c r="Q49" i="71" s="1"/>
  <c r="H27" i="6"/>
  <c r="R22" i="6"/>
  <c r="D16" i="6"/>
  <c r="D30" i="6"/>
  <c r="R26" i="6"/>
  <c r="I70" i="39"/>
  <c r="H72" i="39"/>
  <c r="H67" i="40"/>
  <c r="I65" i="40"/>
  <c r="C18" i="15"/>
  <c r="C15" i="15"/>
  <c r="C20" i="44"/>
  <c r="C17" i="44"/>
  <c r="R20" i="6"/>
  <c r="R7" i="1" s="1"/>
  <c r="R23" i="6"/>
  <c r="R21" i="6"/>
  <c r="R8" i="1" s="1"/>
  <c r="P14" i="1"/>
  <c r="P16" i="1" s="1"/>
  <c r="C13" i="12" s="1"/>
  <c r="A6" i="51"/>
  <c r="B7" i="63" s="1"/>
  <c r="N5" i="54"/>
  <c r="B43" i="63" s="1"/>
  <c r="A6" i="64"/>
  <c r="A20" i="64"/>
  <c r="A20" i="51"/>
  <c r="B15" i="63" s="1"/>
  <c r="I27" i="6"/>
  <c r="S19" i="6"/>
  <c r="S27" i="6" s="1"/>
  <c r="R19" i="6"/>
  <c r="D27" i="6"/>
  <c r="D31" i="6" s="1"/>
  <c r="L16" i="1"/>
  <c r="C13" i="43"/>
  <c r="N16" i="1"/>
  <c r="C29" i="43" s="1"/>
  <c r="R25" i="6"/>
  <c r="R24" i="6"/>
  <c r="B3" i="67"/>
  <c r="B4" i="67"/>
  <c r="C14" i="71"/>
  <c r="M21" i="71"/>
  <c r="F37" i="44"/>
  <c r="M23" i="44"/>
  <c r="F35" i="71"/>
  <c r="F35" i="15"/>
  <c r="M21" i="15"/>
  <c r="I53" i="21" l="1"/>
  <c r="J53" i="21" s="1"/>
  <c r="C49" i="21"/>
  <c r="B3" i="21" s="1"/>
  <c r="B2" i="21" s="1"/>
  <c r="C10" i="12" s="1"/>
  <c r="E52" i="21"/>
  <c r="F52" i="21" s="1"/>
  <c r="T16" i="1"/>
  <c r="C18" i="71"/>
  <c r="C15" i="71"/>
  <c r="C36" i="44"/>
  <c r="J22" i="44"/>
  <c r="J20" i="15"/>
  <c r="C34" i="15"/>
  <c r="F62" i="15"/>
  <c r="C61" i="15" s="1"/>
  <c r="F62" i="71"/>
  <c r="C61" i="71" s="1"/>
  <c r="C58" i="71" s="1"/>
  <c r="C34" i="71"/>
  <c r="C31" i="71" s="1"/>
  <c r="J20" i="71"/>
  <c r="L46" i="71"/>
  <c r="R27" i="6"/>
  <c r="R6" i="1"/>
  <c r="R16" i="1" s="1"/>
  <c r="C19" i="15"/>
  <c r="C20" i="15" s="1"/>
  <c r="C26" i="15" s="1"/>
  <c r="C21" i="44"/>
  <c r="C22" i="44" s="1"/>
  <c r="C25" i="44" s="1"/>
  <c r="J65" i="40"/>
  <c r="I67" i="40"/>
  <c r="I72" i="39"/>
  <c r="J70" i="39"/>
  <c r="I6" i="6"/>
  <c r="I5" i="6"/>
  <c r="C14" i="43"/>
  <c r="C17" i="43"/>
  <c r="C17" i="12"/>
  <c r="C14" i="12"/>
  <c r="C8" i="12" l="1"/>
  <c r="C19" i="71"/>
  <c r="C20" i="71" s="1"/>
  <c r="C26" i="71" s="1"/>
  <c r="K70" i="39"/>
  <c r="J72" i="39"/>
  <c r="C28" i="44"/>
  <c r="C31" i="44" s="1"/>
  <c r="K65" i="40"/>
  <c r="J67" i="40"/>
  <c r="C23" i="15"/>
  <c r="C29" i="15" s="1"/>
  <c r="J14" i="15" s="1"/>
  <c r="C18" i="12"/>
  <c r="C18" i="43"/>
  <c r="C23" i="71" l="1"/>
  <c r="C29" i="71" s="1"/>
  <c r="J19" i="71" s="1"/>
  <c r="J17" i="71" s="1"/>
  <c r="Q50" i="15"/>
  <c r="J19" i="15"/>
  <c r="J17" i="15" s="1"/>
  <c r="C13" i="15"/>
  <c r="C55" i="15" s="1"/>
  <c r="C64" i="15" s="1"/>
  <c r="J59" i="15"/>
  <c r="J60" i="15" s="1"/>
  <c r="Q49" i="15" s="1"/>
  <c r="Q51" i="44"/>
  <c r="C15" i="44"/>
  <c r="Q72" i="44" s="1"/>
  <c r="J21" i="44"/>
  <c r="J19" i="44" s="1"/>
  <c r="C35" i="44"/>
  <c r="C33" i="44" s="1"/>
  <c r="C38" i="44"/>
  <c r="J16" i="44"/>
  <c r="J24" i="44" s="1"/>
  <c r="C33" i="15"/>
  <c r="C31" i="15" s="1"/>
  <c r="K67" i="40"/>
  <c r="L65" i="40"/>
  <c r="L70" i="39"/>
  <c r="K72" i="39"/>
  <c r="C36" i="15"/>
  <c r="C56" i="15"/>
  <c r="C60" i="15" s="1"/>
  <c r="C58" i="15" s="1"/>
  <c r="C19" i="43"/>
  <c r="C25" i="43" s="1"/>
  <c r="C24" i="43" s="1"/>
  <c r="C23" i="12"/>
  <c r="J22" i="15"/>
  <c r="J13" i="15"/>
  <c r="J23" i="15" s="1"/>
  <c r="J14" i="71" l="1"/>
  <c r="J13" i="71" s="1"/>
  <c r="J23" i="71" s="1"/>
  <c r="C13" i="71"/>
  <c r="Q71" i="71" s="1"/>
  <c r="C36" i="71"/>
  <c r="C56" i="71"/>
  <c r="C63" i="71" s="1"/>
  <c r="Q50" i="71"/>
  <c r="J15" i="44"/>
  <c r="J25" i="44" s="1"/>
  <c r="J18" i="44" s="1"/>
  <c r="J27" i="44" s="1"/>
  <c r="J35" i="15"/>
  <c r="C37" i="15"/>
  <c r="C30" i="15" s="1"/>
  <c r="C39" i="15" s="1"/>
  <c r="C40" i="15" s="1"/>
  <c r="L10" i="12" s="1"/>
  <c r="Q71" i="15"/>
  <c r="C39" i="44"/>
  <c r="C32" i="44" s="1"/>
  <c r="C42" i="44" s="1"/>
  <c r="Q71" i="44" s="1"/>
  <c r="Q70" i="44" s="1"/>
  <c r="C63" i="15"/>
  <c r="C57" i="15" s="1"/>
  <c r="C66" i="15" s="1"/>
  <c r="C67" i="15" s="1"/>
  <c r="J16" i="15"/>
  <c r="J25" i="15" s="1"/>
  <c r="C22" i="43"/>
  <c r="C21" i="43" s="1"/>
  <c r="C28" i="43" s="1"/>
  <c r="C30" i="43" s="1"/>
  <c r="C32" i="43" s="1"/>
  <c r="B2" i="43" s="1"/>
  <c r="B5" i="43" s="1"/>
  <c r="C43" i="44"/>
  <c r="L72" i="39"/>
  <c r="M70" i="39"/>
  <c r="L67" i="40"/>
  <c r="M65" i="40"/>
  <c r="C55" i="71" l="1"/>
  <c r="C64" i="71" s="1"/>
  <c r="C57" i="71" s="1"/>
  <c r="C66" i="71" s="1"/>
  <c r="C67" i="71" s="1"/>
  <c r="C70" i="71" s="1"/>
  <c r="J35" i="71"/>
  <c r="J22" i="71"/>
  <c r="J16" i="71" s="1"/>
  <c r="J25" i="71" s="1"/>
  <c r="C37" i="71"/>
  <c r="C30" i="71" s="1"/>
  <c r="C39" i="71" s="1"/>
  <c r="C40" i="71" s="1"/>
  <c r="C44" i="44"/>
  <c r="C45" i="44" s="1"/>
  <c r="B2" i="44" s="1"/>
  <c r="B3" i="44" s="1"/>
  <c r="J39" i="15"/>
  <c r="J40" i="15" s="1"/>
  <c r="B4" i="43"/>
  <c r="Q70" i="15"/>
  <c r="Q69" i="15" s="1"/>
  <c r="B3" i="43"/>
  <c r="N65" i="40"/>
  <c r="N67" i="40" s="1"/>
  <c r="M67" i="40"/>
  <c r="H9" i="40" s="1"/>
  <c r="M72" i="39"/>
  <c r="N70" i="39"/>
  <c r="N72" i="39" s="1"/>
  <c r="L57" i="15"/>
  <c r="L60" i="15" s="1"/>
  <c r="L46" i="15" s="1"/>
  <c r="B2" i="15" s="1"/>
  <c r="B3" i="15" s="1"/>
  <c r="C70" i="15"/>
  <c r="C46" i="15"/>
  <c r="Q57" i="15"/>
  <c r="C43" i="15"/>
  <c r="Q66" i="15"/>
  <c r="Q48" i="15"/>
  <c r="Q54" i="15" s="1"/>
  <c r="J42" i="15"/>
  <c r="J43" i="15" s="1"/>
  <c r="L51" i="15"/>
  <c r="L51" i="71"/>
  <c r="Q68" i="15" l="1"/>
  <c r="Q70" i="71"/>
  <c r="Q69" i="71" s="1"/>
  <c r="J39" i="71"/>
  <c r="J40" i="71" s="1"/>
  <c r="Q68" i="71"/>
  <c r="C46" i="71"/>
  <c r="B2" i="71"/>
  <c r="C43" i="71"/>
  <c r="J42" i="71"/>
  <c r="J43" i="71" s="1"/>
  <c r="Q66" i="71"/>
  <c r="Q76" i="71" s="1"/>
  <c r="Q48" i="71"/>
  <c r="Q54" i="71" s="1"/>
  <c r="Q57" i="71"/>
  <c r="Q63" i="71" s="1"/>
  <c r="B4" i="44"/>
  <c r="B5" i="44"/>
  <c r="U9" i="40"/>
  <c r="AB9" i="40"/>
  <c r="T44" i="40" s="1"/>
  <c r="G44" i="40" s="1"/>
  <c r="J9" i="40"/>
  <c r="H9" i="39"/>
  <c r="F9" i="39"/>
  <c r="J9" i="39"/>
  <c r="F9" i="40"/>
  <c r="Q58" i="15"/>
  <c r="Q63" i="15" s="1"/>
  <c r="Q67" i="15"/>
  <c r="Q76" i="15" s="1"/>
  <c r="C6" i="12" l="1"/>
  <c r="B3" i="71"/>
  <c r="W9" i="40"/>
  <c r="AC9" i="40"/>
  <c r="V44" i="40" s="1"/>
  <c r="I44" i="40" s="1"/>
  <c r="U9" i="39"/>
  <c r="AB9" i="39"/>
  <c r="T49" i="39" s="1"/>
  <c r="G49" i="39" s="1"/>
  <c r="AA9" i="40"/>
  <c r="R44" i="40" s="1"/>
  <c r="S9" i="40"/>
  <c r="W9" i="39"/>
  <c r="AC9" i="39"/>
  <c r="V49" i="39" s="1"/>
  <c r="I49" i="39" s="1"/>
  <c r="G48" i="40"/>
  <c r="H48" i="40" s="1"/>
  <c r="AA9" i="39"/>
  <c r="R49" i="39" s="1"/>
  <c r="S9" i="39"/>
  <c r="C24" i="12" l="1"/>
  <c r="C29" i="12"/>
  <c r="R50" i="39"/>
  <c r="E49" i="39"/>
  <c r="I53" i="39"/>
  <c r="J53" i="39" s="1"/>
  <c r="G53" i="39"/>
  <c r="H53" i="39" s="1"/>
  <c r="G54" i="39"/>
  <c r="H54" i="39" s="1"/>
  <c r="I48" i="40"/>
  <c r="J48" i="40" s="1"/>
  <c r="G49" i="40"/>
  <c r="H49" i="40" s="1"/>
  <c r="E44" i="40"/>
  <c r="R45" i="40"/>
  <c r="C35" i="12" l="1"/>
  <c r="C33" i="12" s="1"/>
  <c r="C28" i="12"/>
  <c r="C26" i="12" s="1"/>
  <c r="C31" i="12" s="1"/>
  <c r="C30" i="12" s="1"/>
  <c r="C45" i="40"/>
  <c r="C44" i="40"/>
  <c r="E48" i="40"/>
  <c r="F48" i="40" s="1"/>
  <c r="E49" i="40"/>
  <c r="F49" i="40" s="1"/>
  <c r="E53" i="39"/>
  <c r="F53" i="39" s="1"/>
  <c r="E54" i="39"/>
  <c r="F54" i="39" s="1"/>
  <c r="I49" i="40"/>
  <c r="J49" i="40" s="1"/>
  <c r="I54" i="39"/>
  <c r="J54" i="39" s="1"/>
  <c r="C50" i="39"/>
  <c r="C49" i="39"/>
  <c r="C36" i="12" l="1"/>
  <c r="B2" i="12" s="1"/>
  <c r="B4" i="12" s="1"/>
  <c r="B65" i="39"/>
  <c r="F65" i="39" s="1"/>
  <c r="B67" i="39"/>
  <c r="F67" i="39" s="1"/>
  <c r="B66" i="39"/>
  <c r="F66" i="39" s="1"/>
  <c r="B61" i="39"/>
  <c r="F61" i="39" s="1"/>
  <c r="B58" i="39"/>
  <c r="F58" i="39" s="1"/>
  <c r="B62" i="39"/>
  <c r="F62" i="39" s="1"/>
  <c r="B63" i="39"/>
  <c r="F63" i="39" s="1"/>
  <c r="B59" i="39"/>
  <c r="F59" i="39" s="1"/>
  <c r="B60" i="39"/>
  <c r="F60" i="39" s="1"/>
  <c r="B64" i="39"/>
  <c r="F64" i="39" s="1"/>
  <c r="B56" i="40"/>
  <c r="F56" i="40" s="1"/>
  <c r="F63" i="40"/>
  <c r="B2" i="40" s="1"/>
  <c r="B55" i="40"/>
  <c r="F55" i="40" s="1"/>
  <c r="B54" i="40"/>
  <c r="F54" i="40" s="1"/>
  <c r="B62" i="40"/>
  <c r="F62" i="40" s="1"/>
  <c r="B60" i="40"/>
  <c r="F60" i="40" s="1"/>
  <c r="B61" i="40"/>
  <c r="F61" i="40" s="1"/>
  <c r="B58" i="40"/>
  <c r="F58" i="40" s="1"/>
  <c r="B53" i="40"/>
  <c r="F53" i="40" s="1"/>
  <c r="B57" i="40"/>
  <c r="F57" i="40" s="1"/>
  <c r="B59" i="40"/>
  <c r="F59" i="40" s="1"/>
  <c r="D19" i="9"/>
  <c r="D21" i="9"/>
  <c r="L6" i="12" l="1"/>
  <c r="L44" i="9"/>
  <c r="B3" i="12"/>
  <c r="B5" i="12"/>
  <c r="F68" i="39"/>
  <c r="B2" i="39" s="1"/>
  <c r="B3" i="39" s="1"/>
  <c r="B4" i="40"/>
  <c r="B3" i="40"/>
  <c r="B5" i="40"/>
  <c r="D20" i="9"/>
  <c r="C19" i="9"/>
  <c r="C20" i="9"/>
  <c r="B5" i="39" l="1"/>
  <c r="B4" i="39"/>
  <c r="G20" i="9"/>
  <c r="L43" i="9"/>
  <c r="D22" i="9"/>
  <c r="G19" i="9"/>
  <c r="C21" i="9"/>
  <c r="K20" i="9" l="1"/>
  <c r="L20" i="9"/>
  <c r="G21" i="9"/>
  <c r="G22" i="9"/>
  <c r="N43" i="9"/>
  <c r="C32" i="9"/>
  <c r="C33" i="9" l="1"/>
  <c r="C34" i="9"/>
  <c r="O38" i="9"/>
  <c r="C35" i="9"/>
  <c r="F42" i="9" s="1"/>
  <c r="C42" i="9"/>
  <c r="O43" i="9"/>
  <c r="K25" i="9" l="1"/>
  <c r="K26" i="9"/>
  <c r="M38" i="9"/>
  <c r="K27" i="9" s="1"/>
  <c r="E42" i="9"/>
  <c r="P5" i="54" s="1"/>
  <c r="B46" i="63" s="1"/>
  <c r="C44" i="9"/>
  <c r="N68" i="9"/>
  <c r="D63" i="9"/>
  <c r="D14" i="66"/>
  <c r="R5" i="54"/>
  <c r="B48" i="63" s="1"/>
  <c r="D42" i="9"/>
  <c r="Q5" i="54" s="1"/>
  <c r="B47" i="63" s="1"/>
  <c r="N38" i="9"/>
  <c r="K28" i="9" s="1"/>
  <c r="F14" i="66" l="1"/>
  <c r="E14" i="66"/>
  <c r="D70" i="9"/>
  <c r="C103" i="9"/>
  <c r="D77" i="9"/>
  <c r="N75" i="9" s="1"/>
  <c r="C90" i="9"/>
  <c r="C111" i="9"/>
  <c r="C104" i="9" s="1"/>
  <c r="D71" i="9"/>
  <c r="D66" i="9" s="1"/>
  <c r="N72" i="9" s="1"/>
  <c r="C82" i="9"/>
  <c r="C81" i="9" s="1"/>
  <c r="C85" i="9" s="1"/>
  <c r="C86" i="9" s="1"/>
  <c r="D72" i="9" s="1"/>
  <c r="C96" i="9"/>
  <c r="C91" i="9" s="1"/>
  <c r="E44" i="9"/>
  <c r="F44" i="9"/>
  <c r="D44" i="9"/>
  <c r="G14" i="66"/>
  <c r="N69" i="9"/>
  <c r="O39" i="9"/>
  <c r="M86" i="9" l="1"/>
  <c r="N86" i="9" s="1"/>
  <c r="M87" i="9"/>
  <c r="N87" i="9" s="1"/>
  <c r="M83" i="9"/>
  <c r="N83" i="9" s="1"/>
  <c r="M85" i="9"/>
  <c r="N85" i="9" s="1"/>
  <c r="M88" i="9"/>
  <c r="N88" i="9" s="1"/>
  <c r="M84" i="9"/>
  <c r="N84" i="9" s="1"/>
  <c r="C97" i="9"/>
  <c r="R6" i="54"/>
  <c r="B50" i="63" s="1"/>
  <c r="K29" i="9"/>
  <c r="K30" i="9" s="1"/>
  <c r="C113" i="9"/>
  <c r="N89" i="9" l="1"/>
  <c r="O89" i="9" s="1"/>
  <c r="C98" i="9"/>
  <c r="E98" i="9" s="1"/>
  <c r="E99" i="9" s="1"/>
  <c r="C114" i="9"/>
  <c r="E114" i="9" s="1"/>
  <c r="E115" i="9" s="1"/>
  <c r="C99" i="9" l="1"/>
  <c r="C115" i="9"/>
  <c r="D76" i="9" s="1"/>
  <c r="D74" i="9" s="1"/>
  <c r="N74" i="9" s="1"/>
  <c r="O77" i="9" s="1"/>
  <c r="O79" i="9" s="1"/>
  <c r="O78" i="9" l="1"/>
  <c r="Q77" i="9"/>
  <c r="O81" i="9"/>
  <c r="O80" i="9"/>
  <c r="B15" i="66" l="1"/>
  <c r="B1" i="66" s="1"/>
  <c r="C8" i="66" l="1"/>
  <c r="C7" i="66"/>
  <c r="C15" i="66"/>
  <c r="B2" i="66" s="1"/>
  <c r="D7" i="66" l="1"/>
  <c r="D8" i="66"/>
  <c r="D15" i="66" l="1"/>
  <c r="G15" i="66" l="1"/>
  <c r="B6" i="66" s="1"/>
  <c r="F15" i="66"/>
  <c r="E15" i="66"/>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<sst xmlns="http://schemas.openxmlformats.org/spreadsheetml/2006/main" count="7637" uniqueCount="3200">
  <si>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</si>
  <si>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</si>
  <si>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</si>
  <si>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</si>
  <si>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</si>
  <si>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</si>
  <si>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</si>
  <si>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</si>
  <si>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</si>
  <si>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</si>
  <si>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</si>
  <si>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</si>
  <si>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</si>
  <si>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</si>
  <si>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</si>
  <si>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</si>
  <si>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</si>
  <si>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</si>
  <si>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</si>
  <si>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</si>
  <si>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</si>
  <si>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</si>
  <si>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</si>
  <si>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</si>
  <si>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</si>
  <si>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</si>
  <si>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</si>
  <si>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</si>
  <si>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</si>
  <si>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</si>
  <si>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</si>
  <si>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</si>
  <si>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</si>
  <si>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</si>
  <si>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</si>
  <si>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</si>
  <si>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</si>
  <si>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</si>
  <si>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</si>
  <si>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</si>
  <si>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</si>
  <si>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</si>
  <si>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</si>
  <si>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</si>
  <si>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</si>
  <si>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</si>
  <si>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</si>
  <si>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</si>
  <si>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</si>
  <si>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</si>
  <si>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</si>
  <si>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</si>
  <si>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</si>
  <si>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</si>
  <si>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</si>
  <si>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</si>
  <si>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</si>
  <si>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</si>
  <si>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</si>
  <si>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</si>
  <si>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</si>
  <si>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</si>
  <si>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</si>
  <si>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</si>
  <si>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</si>
  <si>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</si>
  <si>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</si>
  <si>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</si>
  <si>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</si>
  <si>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</si>
  <si>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</si>
  <si>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</si>
  <si>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</si>
  <si>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</si>
  <si>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</si>
  <si>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</si>
  <si>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</si>
  <si>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</si>
  <si>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</si>
  <si>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</si>
  <si>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</si>
  <si>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</si>
  <si>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</si>
  <si>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</si>
  <si>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</si>
  <si>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</si>
  <si>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</si>
  <si>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</si>
  <si>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</si>
  <si>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</si>
  <si>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</si>
  <si>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</si>
  <si>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</si>
  <si>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</si>
  <si>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</si>
  <si>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</si>
  <si>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</si>
  <si>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</si>
  <si>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</si>
  <si>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</si>
  <si>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</si>
  <si>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</si>
  <si>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</si>
  <si>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</si>
  <si>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</si>
  <si>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</si>
  <si>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</si>
  <si>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</si>
  <si>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</si>
  <si>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</si>
  <si>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</si>
  <si>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</si>
  <si>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</si>
  <si>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</si>
  <si>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</si>
  <si>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</si>
  <si>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</si>
  <si>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</si>
  <si>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</si>
  <si>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</si>
  <si>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</si>
  <si>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</si>
  <si>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</si>
  <si>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</si>
  <si>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</si>
  <si>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</si>
  <si>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</si>
  <si>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</si>
  <si>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</si>
  <si>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</si>
  <si>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</si>
  <si>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</si>
  <si>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</si>
  <si>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</si>
  <si>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</si>
  <si>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</si>
  <si>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</si>
  <si>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</si>
  <si>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</si>
  <si>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</si>
  <si>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</si>
  <si>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</si>
  <si>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</si>
  <si>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</si>
  <si>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</si>
  <si>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</si>
  <si>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</si>
  <si>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</si>
  <si>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</si>
  <si>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</si>
  <si>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</si>
  <si>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</si>
  <si>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</si>
  <si>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</si>
  <si>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</si>
  <si>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</si>
  <si>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</si>
  <si>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</si>
  <si>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</si>
  <si>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</si>
  <si>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</si>
  <si>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</si>
  <si>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</si>
  <si>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</si>
  <si>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</si>
  <si>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</si>
  <si>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</si>
  <si>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</si>
  <si>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</si>
  <si>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</si>
  <si>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</si>
  <si>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</si>
  <si>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</si>
  <si>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</si>
  <si>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</si>
  <si>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</si>
  <si>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</si>
  <si>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</si>
  <si>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</si>
  <si>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</si>
  <si>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</si>
  <si>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</si>
  <si>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</si>
  <si>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</si>
  <si>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</si>
  <si>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</si>
  <si>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</si>
  <si>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</si>
  <si>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</si>
  <si>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</si>
  <si>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</si>
  <si>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</si>
  <si>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</si>
  <si>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</si>
  <si>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</si>
  <si>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</si>
  <si>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</si>
  <si>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</si>
  <si>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</si>
  <si>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</si>
  <si>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</si>
  <si>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</si>
  <si>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</si>
  <si>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</si>
  <si>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</si>
  <si>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</si>
  <si>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</si>
  <si>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</si>
  <si>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</si>
  <si>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</si>
  <si>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</si>
  <si>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</si>
  <si>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</si>
  <si>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</si>
  <si>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</si>
  <si>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</si>
  <si>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</si>
  <si>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</si>
  <si>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</si>
  <si>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</si>
  <si>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</si>
  <si>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</si>
  <si>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</si>
  <si>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</si>
  <si>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</si>
  <si>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</si>
  <si>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</si>
  <si>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</si>
  <si>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</si>
  <si>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</si>
  <si>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</si>
  <si>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</si>
  <si>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</si>
  <si>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</si>
  <si>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</si>
  <si>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</si>
  <si>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</si>
  <si>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</si>
  <si>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</si>
  <si>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</si>
  <si>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</si>
  <si>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</si>
  <si>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</si>
  <si>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</si>
  <si>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</si>
  <si>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</si>
  <si>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</si>
  <si>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</si>
  <si>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</si>
  <si>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</si>
  <si>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</si>
  <si>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</si>
  <si>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</si>
  <si>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</si>
  <si>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</si>
  <si>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</si>
  <si>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</si>
  <si>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</si>
  <si>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</si>
  <si>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</si>
  <si>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</si>
  <si>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</si>
  <si>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</si>
  <si>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</si>
  <si>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</si>
  <si>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</si>
  <si>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</si>
  <si>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</si>
  <si>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</si>
  <si>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</si>
  <si>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</si>
  <si>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</si>
  <si>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</si>
  <si>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</si>
  <si>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</si>
  <si>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</si>
  <si>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</si>
  <si>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</si>
  <si>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</si>
  <si>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</si>
  <si>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</si>
  <si>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</si>
  <si>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</si>
  <si>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</si>
  <si>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</si>
  <si>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</si>
  <si>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</si>
  <si>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</si>
  <si>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</si>
  <si>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</si>
  <si>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</si>
  <si>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</si>
  <si>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</si>
  <si>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</si>
  <si>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</si>
  <si>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</si>
  <si>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</si>
  <si>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</si>
  <si>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</si>
  <si>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</si>
  <si>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</si>
  <si>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</si>
  <si>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</si>
  <si>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</si>
  <si>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</si>
  <si>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</si>
  <si>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</si>
  <si>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</si>
  <si>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</si>
  <si>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</si>
  <si>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</si>
  <si>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</si>
  <si>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</si>
  <si>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</si>
  <si>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</si>
  <si>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</si>
  <si>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</si>
  <si>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</si>
  <si>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</si>
  <si>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</si>
  <si>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</si>
  <si>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</si>
  <si>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</si>
  <si>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</si>
  <si>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</si>
  <si>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</si>
  <si>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</si>
  <si>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</si>
  <si>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</si>
  <si>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</si>
  <si>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</si>
  <si>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</si>
  <si>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</si>
  <si>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</si>
  <si>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</si>
  <si>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</si>
  <si>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</si>
  <si>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</si>
  <si>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</si>
  <si>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</si>
  <si>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</si>
  <si>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</si>
  <si>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</si>
  <si>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</si>
  <si>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</si>
  <si>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</si>
  <si>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</si>
  <si>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</si>
  <si>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</si>
  <si>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</si>
  <si>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</si>
  <si>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</si>
  <si>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</si>
  <si>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</si>
  <si>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</si>
  <si>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</si>
  <si>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</si>
  <si>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</si>
  <si>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</si>
  <si>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</si>
  <si>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</si>
  <si>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</si>
  <si>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</si>
  <si>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</si>
  <si>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</si>
  <si>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</si>
  <si>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</si>
  <si>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</si>
  <si>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</si>
  <si>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</si>
  <si>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</si>
  <si>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</si>
  <si>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</si>
  <si>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</si>
  <si>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</si>
  <si>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</si>
  <si>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</si>
  <si>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</si>
  <si>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</si>
  <si>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</si>
  <si>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</si>
  <si>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</si>
  <si>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</si>
  <si>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</si>
  <si>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</si>
  <si>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</si>
  <si>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</si>
  <si>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</si>
  <si>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</si>
  <si>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</si>
  <si>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</si>
  <si>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</si>
  <si>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</si>
  <si>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</si>
  <si>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</si>
  <si>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</si>
  <si>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</si>
  <si>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</si>
  <si>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</si>
  <si>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</si>
  <si>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</si>
  <si>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</si>
  <si>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</si>
  <si>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</si>
  <si>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</si>
  <si>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</si>
  <si>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</si>
  <si>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</si>
  <si>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</si>
  <si>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</si>
  <si>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</si>
  <si>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</si>
  <si>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</si>
  <si>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</si>
  <si>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</si>
  <si>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</si>
  <si>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</si>
  <si>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</si>
  <si>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</si>
  <si>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</si>
  <si>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</si>
  <si>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</si>
  <si>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</si>
  <si>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</si>
  <si>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</si>
  <si>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</si>
  <si>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</si>
  <si>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</si>
  <si>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</si>
  <si>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</si>
  <si>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</si>
  <si>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</si>
  <si>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</si>
  <si>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</si>
  <si>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</si>
  <si>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</si>
  <si>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</si>
  <si>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</si>
  <si>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</si>
  <si>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</si>
  <si>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</si>
  <si>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</si>
  <si>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</si>
  <si>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</si>
  <si>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</si>
  <si>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</si>
  <si>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</si>
  <si>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</si>
  <si>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</si>
  <si>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</si>
  <si>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</si>
  <si>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</si>
  <si>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</si>
  <si>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</si>
  <si>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</si>
  <si>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</si>
  <si>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</si>
  <si>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</si>
  <si>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</si>
  <si>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</si>
  <si>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</si>
  <si>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</si>
  <si>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</si>
  <si>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</si>
  <si>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</si>
  <si>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</si>
  <si>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</si>
  <si>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</si>
  <si>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</si>
  <si>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</si>
  <si>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</si>
  <si>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</si>
  <si>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</si>
  <si>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</si>
  <si>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</si>
  <si>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</si>
  <si>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</si>
  <si>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</si>
  <si>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</si>
  <si>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</si>
  <si>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</si>
  <si>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</si>
  <si>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</si>
  <si>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</si>
  <si>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</si>
  <si>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</si>
  <si>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</si>
  <si>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</si>
  <si>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</si>
  <si>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</si>
  <si>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</si>
  <si>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</si>
  <si>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</si>
  <si>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</si>
  <si>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</si>
  <si>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</si>
  <si>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</si>
  <si>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</si>
  <si>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</si>
  <si>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</si>
  <si>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</si>
  <si>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</si>
  <si>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</si>
  <si>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</si>
  <si>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</si>
  <si>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</si>
  <si>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</si>
  <si>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</si>
  <si>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</si>
  <si>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</si>
  <si>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</si>
  <si>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</si>
  <si>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</si>
  <si>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</si>
  <si>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</si>
  <si>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</si>
  <si>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</si>
  <si>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</si>
  <si>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</si>
  <si>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</si>
  <si>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</si>
  <si>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</si>
  <si>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</si>
  <si>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</si>
  <si>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</si>
  <si>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</si>
  <si>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</si>
  <si>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</si>
  <si>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</si>
  <si>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</si>
  <si>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</si>
  <si>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</si>
  <si>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</si>
  <si>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</si>
  <si>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</si>
  <si>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</si>
  <si>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</si>
  <si>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</si>
  <si>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</si>
  <si>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</si>
  <si>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</si>
  <si>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</si>
  <si>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</si>
  <si>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</si>
  <si>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</si>
  <si>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</si>
  <si>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</si>
  <si>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</si>
  <si>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</si>
  <si>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</si>
  <si>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</si>
  <si>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</si>
  <si>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</si>
  <si>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</si>
  <si>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</si>
  <si>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</si>
  <si>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</si>
  <si>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</si>
  <si>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</si>
  <si>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</si>
  <si>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</si>
  <si>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</si>
  <si>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</si>
  <si>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</si>
  <si>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</si>
  <si>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</si>
  <si>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</si>
  <si>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</si>
  <si>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</si>
  <si>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</si>
  <si>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</si>
  <si>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</si>
  <si>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</si>
  <si>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</si>
  <si>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</si>
  <si>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</si>
  <si>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</si>
  <si>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</si>
  <si>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</si>
  <si>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</si>
  <si>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</si>
  <si>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</si>
  <si>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</si>
  <si>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</si>
  <si>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</si>
  <si>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</si>
  <si>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</si>
  <si>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</si>
  <si>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</si>
  <si>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</si>
  <si>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</si>
  <si>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</si>
  <si>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</si>
  <si>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</si>
  <si>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</si>
  <si>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</si>
  <si>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</si>
  <si>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</si>
  <si>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</si>
  <si>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</si>
  <si>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</si>
  <si>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</si>
  <si>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</si>
  <si>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</si>
  <si>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</si>
  <si>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</si>
  <si>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</si>
  <si>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</si>
  <si>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</si>
  <si>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</si>
  <si>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</si>
  <si>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</si>
  <si>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</si>
  <si>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</si>
  <si>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</si>
  <si>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</si>
  <si>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</si>
  <si>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</si>
  <si>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</si>
  <si>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</si>
  <si>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</si>
  <si>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</si>
  <si>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</si>
  <si>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</si>
  <si>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</si>
  <si>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</si>
  <si>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</si>
  <si>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</si>
  <si>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</si>
  <si>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</si>
  <si>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</si>
  <si>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</si>
  <si>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</si>
  <si>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</si>
  <si>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</si>
  <si>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</si>
  <si>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</si>
  <si>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</si>
  <si>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</si>
  <si>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</si>
  <si>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</si>
  <si>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</si>
  <si>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</si>
  <si>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</si>
  <si>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</si>
  <si>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</si>
  <si>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</si>
  <si>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</si>
  <si>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</si>
  <si>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</si>
  <si>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</si>
  <si>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</si>
  <si>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</si>
  <si>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</si>
  <si>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</si>
  <si>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</si>
  <si>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</si>
  <si>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</si>
  <si>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</si>
  <si>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</si>
  <si>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</si>
  <si>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</si>
  <si>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</si>
  <si>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</si>
  <si>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</si>
  <si>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</si>
  <si>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</si>
  <si>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</si>
  <si>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</si>
  <si>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</si>
  <si>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</si>
  <si>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</si>
  <si>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</si>
  <si>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</si>
  <si>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</si>
  <si>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</si>
  <si>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</si>
  <si>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</si>
  <si>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</si>
  <si>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</si>
  <si>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</si>
  <si>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</si>
  <si>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</si>
  <si>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</si>
  <si>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</si>
  <si>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</si>
  <si>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</si>
  <si>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</si>
  <si>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</si>
  <si>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</si>
  <si>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</si>
  <si>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</si>
  <si>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</si>
  <si>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</si>
  <si>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</si>
  <si>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</si>
  <si>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</si>
  <si>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</si>
  <si>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</si>
  <si>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</si>
  <si>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</si>
  <si>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</si>
  <si>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</si>
  <si>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</si>
  <si>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</si>
  <si>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</si>
  <si>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</si>
  <si>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</si>
  <si>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</si>
  <si>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</si>
  <si>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</si>
  <si>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</si>
  <si>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</si>
  <si>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</si>
  <si>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</si>
  <si>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</si>
  <si>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</si>
  <si>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</si>
  <si>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</si>
  <si>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</si>
  <si>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</si>
  <si>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</si>
  <si>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</si>
  <si>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</si>
  <si>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</si>
  <si>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</si>
  <si>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</si>
  <si>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</si>
  <si>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</si>
  <si>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</si>
  <si>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</si>
  <si>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</si>
  <si>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</si>
  <si>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</si>
  <si>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</si>
  <si>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</si>
  <si>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</si>
  <si>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</si>
  <si>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</si>
  <si>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</si>
  <si>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</si>
  <si>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</si>
  <si>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</si>
  <si>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</si>
  <si>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</si>
  <si>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</si>
  <si>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</si>
  <si>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</si>
  <si>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</si>
  <si>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</si>
  <si>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</si>
  <si>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</si>
  <si>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</si>
  <si>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</si>
  <si>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</si>
  <si>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</si>
  <si>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</si>
  <si>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</si>
  <si>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</si>
  <si>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</si>
  <si>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</si>
  <si>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</si>
  <si>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</si>
  <si>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</si>
  <si>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</si>
  <si>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</si>
  <si>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</si>
  <si>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</si>
  <si>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</si>
  <si>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</si>
  <si>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</si>
  <si>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</si>
  <si>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</si>
  <si>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</si>
  <si>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</si>
  <si>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</si>
  <si>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</si>
  <si>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</si>
  <si>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</si>
  <si>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</si>
  <si>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</si>
  <si>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</si>
  <si>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</si>
  <si>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</si>
  <si>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</si>
  <si>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</si>
  <si>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</si>
  <si>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</si>
  <si>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</si>
  <si>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</si>
  <si>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</si>
  <si>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</si>
  <si>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</si>
  <si>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</si>
  <si>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</si>
  <si>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</si>
  <si>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</si>
  <si>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</si>
  <si>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</si>
  <si>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</si>
  <si>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</si>
  <si>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</si>
  <si>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</si>
  <si>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</si>
  <si>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</si>
  <si>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</si>
  <si>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</si>
  <si>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</si>
  <si>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</si>
  <si>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</si>
  <si>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</si>
  <si>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</si>
  <si>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</si>
  <si>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</si>
  <si>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</si>
  <si>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</si>
  <si>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</si>
  <si>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</si>
  <si>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</si>
  <si>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</si>
  <si>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</si>
  <si>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</si>
  <si>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</si>
  <si>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</si>
  <si>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</si>
  <si>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</si>
  <si>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</si>
  <si>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</si>
  <si>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</si>
  <si>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</si>
  <si>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</si>
  <si>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</si>
  <si>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</si>
  <si>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</si>
  <si>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</si>
  <si>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</si>
  <si>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</si>
  <si>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</si>
  <si>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</si>
  <si>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</si>
  <si>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</si>
  <si>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</si>
  <si>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</si>
  <si>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</si>
  <si>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</si>
  <si>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</si>
  <si>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</si>
  <si>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</si>
  <si>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</si>
  <si>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</si>
  <si>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</si>
  <si>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</si>
  <si>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</si>
  <si>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</si>
  <si>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</si>
  <si>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</si>
  <si>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</si>
  <si>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</si>
  <si>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</si>
  <si>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</si>
  <si>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</si>
  <si>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</si>
  <si>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</si>
  <si>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</si>
  <si>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</si>
  <si>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</si>
  <si>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</si>
  <si>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</si>
  <si>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</si>
  <si>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</si>
  <si>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</si>
  <si>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</si>
  <si>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</si>
  <si>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</si>
  <si>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</si>
  <si>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</si>
  <si>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</si>
  <si>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</si>
  <si>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</si>
  <si>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</si>
  <si>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</si>
  <si>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</si>
  <si>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</si>
  <si>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</si>
  <si>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</si>
  <si>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</si>
  <si>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</si>
  <si>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</si>
  <si>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</si>
  <si>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</si>
  <si>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</si>
  <si>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</si>
  <si>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</si>
  <si>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</si>
  <si>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</si>
  <si>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</si>
  <si>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</si>
  <si>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</si>
  <si>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</si>
  <si>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</si>
  <si>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</si>
  <si>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</si>
  <si>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</si>
  <si>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</si>
  <si>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</si>
  <si>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</si>
  <si>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</si>
  <si>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</si>
  <si>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</si>
  <si>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</si>
  <si>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</si>
  <si>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</si>
  <si>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</si>
  <si>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</si>
  <si>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</si>
  <si>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</si>
  <si>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</si>
  <si>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</si>
  <si>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</si>
  <si>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</si>
  <si>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</si>
  <si>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</si>
  <si>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</si>
  <si>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</si>
  <si>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</si>
  <si>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</si>
  <si>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</si>
  <si>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</si>
  <si>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</si>
  <si>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</si>
  <si>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</si>
  <si>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</si>
  <si>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</si>
  <si>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</si>
  <si>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</si>
  <si>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</si>
  <si>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</si>
  <si>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</si>
  <si>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</si>
  <si>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</si>
  <si>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</si>
  <si>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</si>
  <si>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</si>
  <si>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</si>
  <si>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</si>
  <si>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</si>
  <si>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</si>
  <si>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</si>
  <si>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</si>
  <si>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</si>
  <si>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</si>
  <si>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</si>
  <si>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</si>
  <si>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</si>
  <si>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</si>
  <si>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</si>
  <si>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</si>
  <si>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</si>
  <si>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</si>
  <si>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</si>
  <si>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</si>
  <si>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</si>
  <si>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</si>
  <si>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</si>
  <si>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</si>
  <si>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</si>
  <si>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</si>
  <si>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</si>
  <si>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</si>
  <si>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</si>
  <si>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</si>
  <si>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</si>
  <si>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</si>
  <si>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</si>
  <si>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</si>
  <si>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</si>
  <si>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</si>
  <si>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</si>
  <si>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</si>
  <si>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</si>
  <si>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</si>
  <si>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</si>
  <si>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</si>
  <si>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</si>
  <si>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</si>
  <si>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</si>
  <si>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</si>
  <si>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</si>
  <si>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</si>
  <si>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</si>
  <si>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</si>
  <si>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</si>
  <si>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</si>
  <si>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</si>
  <si>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</si>
  <si>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</si>
  <si>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</si>
  <si>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</si>
  <si>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</si>
  <si>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</si>
  <si>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</si>
  <si>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</si>
  <si>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</si>
  <si>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</si>
  <si>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</si>
  <si>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</si>
  <si>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</si>
  <si>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</si>
  <si>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</si>
  <si>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</si>
  <si>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</si>
  <si>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</si>
  <si>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</si>
  <si>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</si>
  <si>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</si>
  <si>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</si>
  <si>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</si>
  <si>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</si>
  <si>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</si>
  <si>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</si>
  <si>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</si>
  <si>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</si>
  <si>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</si>
  <si>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</si>
  <si>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</si>
  <si>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</si>
  <si>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</si>
  <si>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</si>
  <si>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</si>
  <si>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</si>
  <si>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</si>
  <si>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</si>
  <si>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</si>
  <si>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</si>
  <si>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</si>
  <si>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</si>
  <si>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</si>
  <si>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</si>
  <si>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</si>
  <si>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</si>
  <si>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</si>
  <si>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</si>
  <si>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</si>
  <si>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</si>
  <si>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</si>
  <si>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</si>
  <si>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</si>
  <si>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</si>
  <si>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</si>
  <si>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</si>
  <si>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</si>
  <si>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</si>
  <si>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</si>
  <si>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</si>
  <si>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</si>
  <si>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</si>
  <si>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</si>
  <si>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</si>
  <si>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</si>
  <si>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</si>
  <si>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</si>
  <si>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</si>
  <si>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</si>
  <si>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</si>
  <si>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</si>
  <si>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</si>
  <si>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</si>
  <si>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</si>
  <si>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</si>
  <si>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</si>
  <si>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</si>
  <si>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</si>
  <si>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</si>
  <si>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</si>
  <si>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</si>
  <si>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</si>
  <si>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</si>
  <si>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</si>
  <si>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</si>
  <si>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</si>
  <si>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</si>
  <si>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</si>
  <si>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</si>
  <si>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</si>
  <si>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</si>
  <si>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</si>
  <si>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</si>
  <si>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</si>
  <si>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</si>
  <si>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</si>
  <si>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</si>
  <si>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</si>
  <si>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</si>
  <si>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</si>
  <si>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</si>
  <si>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</si>
  <si>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</si>
  <si>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</si>
  <si>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</si>
  <si>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</si>
  <si>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</si>
  <si>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</si>
  <si>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</si>
  <si>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</si>
  <si>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</si>
  <si>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</si>
  <si>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</si>
  <si>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</si>
  <si>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</si>
  <si>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</si>
  <si>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</si>
  <si>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</si>
  <si>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</si>
  <si>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</si>
  <si>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</si>
  <si>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</si>
  <si>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</si>
  <si>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</si>
  <si>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</si>
  <si>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</si>
  <si>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</si>
  <si>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</si>
  <si>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</si>
  <si>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</si>
  <si>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</si>
  <si>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</si>
  <si>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</si>
  <si>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</si>
  <si>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</si>
  <si>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</si>
  <si>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</si>
  <si>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</si>
  <si>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</si>
  <si>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</si>
  <si>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</si>
  <si>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</si>
  <si>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</si>
  <si>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</si>
  <si>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</si>
  <si>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</si>
  <si>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</si>
  <si>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</si>
  <si>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</si>
  <si>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</si>
  <si>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</si>
  <si>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</si>
  <si>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</si>
  <si>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</si>
  <si>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</si>
  <si>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</si>
  <si>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</si>
  <si>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</si>
  <si>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</si>
  <si>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</si>
  <si>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</si>
  <si>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</si>
  <si>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</si>
  <si>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</si>
  <si>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</si>
  <si>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</si>
  <si>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</si>
  <si>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</si>
  <si>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</si>
  <si>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</si>
  <si>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</si>
  <si>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</si>
  <si>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</si>
  <si>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</si>
  <si>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</si>
  <si>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</si>
  <si>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</si>
  <si>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</si>
  <si>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</si>
  <si>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</si>
  <si>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</si>
  <si>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</si>
  <si>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</si>
  <si>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</si>
  <si>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</si>
  <si>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</si>
  <si>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</si>
  <si>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</si>
  <si>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</si>
  <si>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</si>
  <si>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</si>
  <si>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</si>
  <si>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</si>
  <si>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</si>
  <si>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</si>
  <si>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</si>
  <si>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</si>
  <si>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</si>
  <si>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</si>
  <si>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</si>
  <si>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</si>
  <si>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</si>
  <si>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</si>
  <si>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</si>
  <si>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</si>
  <si>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</si>
  <si>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</si>
  <si>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</si>
  <si>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</si>
  <si>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</si>
  <si>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</si>
  <si>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</si>
  <si>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</si>
  <si>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</si>
  <si>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</si>
  <si>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</si>
  <si>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</si>
  <si>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</si>
  <si>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</si>
  <si>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</si>
  <si>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</si>
  <si>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</si>
  <si>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</si>
  <si>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</si>
  <si>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</si>
  <si>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</si>
  <si>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</si>
  <si>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</si>
  <si>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</si>
  <si>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</si>
  <si>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</si>
  <si>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</si>
  <si>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</si>
  <si>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</si>
  <si>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</si>
  <si>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</si>
  <si>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</si>
  <si>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</si>
  <si>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</si>
  <si>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</si>
  <si>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</si>
  <si>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</si>
  <si>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</si>
  <si>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</si>
  <si>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</si>
  <si>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</si>
  <si>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</si>
  <si>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</si>
  <si>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</si>
  <si>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</si>
  <si>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</si>
  <si>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</si>
  <si>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</si>
  <si>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</si>
  <si>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</si>
  <si>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</si>
  <si>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</si>
  <si>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</si>
  <si>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</si>
  <si>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</si>
  <si>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</si>
  <si>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</si>
  <si>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</si>
  <si>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</si>
  <si>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</si>
  <si>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</si>
  <si>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</si>
  <si>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</si>
  <si>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</si>
  <si>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</si>
  <si>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</si>
  <si>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</si>
  <si>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</si>
  <si>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</si>
  <si>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</si>
  <si>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</si>
  <si>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</si>
  <si>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</si>
  <si>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</si>
  <si>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</si>
  <si>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</si>
  <si>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</si>
  <si>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</si>
  <si>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</si>
  <si>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</si>
  <si>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</si>
  <si>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</si>
  <si>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</si>
  <si>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</si>
  <si>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</si>
  <si>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</si>
  <si>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</si>
  <si>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</si>
  <si>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</si>
  <si>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</si>
  <si>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</si>
  <si>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</si>
  <si>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</si>
  <si>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</si>
  <si>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</si>
  <si>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</si>
  <si>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</si>
  <si>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</si>
  <si>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</si>
  <si>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</si>
  <si>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</si>
  <si>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</si>
  <si>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</si>
  <si>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</si>
  <si>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</si>
  <si>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</si>
  <si>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</si>
  <si>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</si>
  <si>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</si>
  <si>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</si>
  <si>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</si>
  <si>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</si>
  <si>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</si>
  <si>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</si>
  <si>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</si>
  <si>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</si>
  <si>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</si>
  <si>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</si>
  <si>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</si>
  <si>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</si>
  <si>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</si>
  <si>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</si>
  <si>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</si>
  <si>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</si>
  <si>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</si>
  <si>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</si>
  <si>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</si>
  <si>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</si>
  <si>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</si>
  <si>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</si>
  <si>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</si>
  <si>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</si>
  <si>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</si>
  <si>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</si>
  <si>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</si>
  <si>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</si>
  <si>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</si>
  <si>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</si>
  <si>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</si>
  <si>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</si>
  <si>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</si>
  <si>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</si>
  <si>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</si>
  <si>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</si>
  <si>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</si>
  <si>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</si>
  <si>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</si>
  <si>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</si>
  <si>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</si>
  <si>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</si>
  <si>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</si>
  <si>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</si>
  <si>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</si>
  <si>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</si>
  <si>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</si>
  <si>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</si>
  <si>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</si>
  <si>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</si>
  <si>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</si>
  <si>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</si>
  <si>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</si>
  <si>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</si>
  <si>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</si>
  <si>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</si>
  <si>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</si>
  <si>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</si>
  <si>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</si>
  <si>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</si>
  <si>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</si>
  <si>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</si>
  <si>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</si>
  <si>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</si>
  <si>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</si>
  <si>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</si>
  <si>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</si>
  <si>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</si>
  <si>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</si>
  <si>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</si>
  <si>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</si>
  <si>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</si>
  <si>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</si>
  <si>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</si>
  <si>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</si>
  <si>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</si>
  <si>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</si>
  <si>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</si>
  <si>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</si>
  <si>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</si>
  <si>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</si>
  <si>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</si>
  <si>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</si>
  <si>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</si>
  <si>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</si>
  <si>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</si>
  <si>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</si>
  <si>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</si>
  <si>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</si>
  <si>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</si>
  <si>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</si>
  <si>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</si>
  <si>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</si>
  <si>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</si>
  <si>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</si>
  <si>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</si>
  <si>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</si>
  <si>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</si>
  <si>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</si>
  <si>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</si>
  <si>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</si>
  <si>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</si>
  <si>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</si>
  <si>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</si>
  <si>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</si>
  <si>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</si>
  <si>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</si>
  <si>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</si>
  <si>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</si>
  <si>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</si>
  <si>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</si>
  <si>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</si>
  <si>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</si>
  <si>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</si>
  <si>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</si>
  <si>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</si>
  <si>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</si>
  <si>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</si>
  <si>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</si>
  <si>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</si>
  <si>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</si>
  <si>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</si>
  <si>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</si>
  <si>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</si>
  <si>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</si>
  <si>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</si>
  <si>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</si>
  <si>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</si>
  <si>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</si>
  <si>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</si>
  <si>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</si>
  <si>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</si>
  <si>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</si>
  <si>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</si>
  <si>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</si>
  <si>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</si>
  <si>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</si>
  <si>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</si>
  <si>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</si>
  <si>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</si>
  <si>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</si>
  <si>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</si>
  <si>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</si>
  <si>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</si>
  <si>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</si>
  <si>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</si>
  <si>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</si>
  <si>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</si>
  <si>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</si>
  <si>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</si>
  <si>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</si>
  <si>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</si>
  <si>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</si>
  <si>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</si>
  <si>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</si>
  <si>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</si>
  <si>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</si>
  <si>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</si>
  <si>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</si>
  <si>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</si>
  <si>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</si>
  <si>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</si>
  <si>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</si>
  <si>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</si>
  <si>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</si>
  <si>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</si>
  <si>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</si>
  <si>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</si>
  <si>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</si>
  <si>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</si>
  <si>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</si>
  <si>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</si>
  <si>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</si>
  <si>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</si>
  <si>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</si>
  <si>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</si>
  <si>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</si>
  <si>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</si>
  <si>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</si>
  <si>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</si>
  <si>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</si>
  <si>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</si>
  <si>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</si>
  <si>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</si>
  <si>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</si>
  <si>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</si>
  <si>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</si>
  <si>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</si>
  <si>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</si>
  <si>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</si>
  <si>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</si>
  <si>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</si>
  <si>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</si>
  <si>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</si>
  <si>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</si>
  <si>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</si>
  <si>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</si>
  <si>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</si>
  <si>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</si>
  <si>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</si>
  <si>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</si>
  <si>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</si>
  <si>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</si>
  <si>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</si>
  <si>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</si>
  <si>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</si>
  <si>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</si>
  <si>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</si>
  <si>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</si>
  <si>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</si>
  <si>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</si>
  <si>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</si>
  <si>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</si>
  <si>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</si>
  <si>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</si>
  <si>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</si>
  <si>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</si>
  <si>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</si>
  <si>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</si>
  <si>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</si>
  <si>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</si>
  <si>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</si>
  <si>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</si>
  <si>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</si>
  <si>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</si>
  <si>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</si>
  <si>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</si>
  <si>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</si>
  <si>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</si>
  <si>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</si>
  <si>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</si>
  <si>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</si>
  <si>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</si>
  <si>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</si>
  <si>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</si>
  <si>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</si>
  <si>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</si>
  <si>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</si>
  <si>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</si>
  <si>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</si>
  <si>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</si>
  <si>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</si>
  <si>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</si>
  <si>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</si>
  <si>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</si>
  <si>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</si>
  <si>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</si>
  <si>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</si>
  <si>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</si>
  <si>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</si>
  <si>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</si>
  <si>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</si>
  <si>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</si>
  <si>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</si>
  <si>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</si>
  <si>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</si>
  <si>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</si>
  <si>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</si>
  <si>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</si>
  <si>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</si>
  <si>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</si>
  <si>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</si>
  <si>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</si>
  <si>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</si>
  <si>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</si>
  <si>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</si>
  <si>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</si>
  <si>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</si>
  <si>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</si>
  <si>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</si>
  <si>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</si>
  <si>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</si>
  <si>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</si>
  <si>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</si>
  <si>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</si>
  <si>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</si>
  <si>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</si>
  <si>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</si>
  <si>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</si>
  <si>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</si>
  <si>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</si>
  <si>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</si>
  <si>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</si>
  <si>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</si>
  <si>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</si>
  <si>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</si>
  <si>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</si>
  <si>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</si>
  <si>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</si>
  <si>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</si>
  <si>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</si>
  <si>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</si>
  <si>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</si>
  <si>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</si>
  <si>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</si>
  <si>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</si>
  <si>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</si>
  <si>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</si>
  <si>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</si>
  <si>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</si>
  <si>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</si>
  <si>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</si>
  <si>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</si>
  <si>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</si>
  <si>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</si>
  <si>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</si>
  <si>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</si>
  <si>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</si>
  <si>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</si>
  <si>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</si>
  <si>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</si>
  <si>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</si>
  <si>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</si>
  <si>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</si>
  <si>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</si>
  <si>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</si>
  <si>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</si>
  <si>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</si>
  <si>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</si>
  <si>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</si>
  <si>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</si>
  <si>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</si>
  <si>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</si>
  <si>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</si>
  <si>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</si>
  <si>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</si>
  <si>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</si>
  <si>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</si>
  <si>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</si>
  <si>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</si>
  <si>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</si>
  <si>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</si>
  <si>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</si>
  <si>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</si>
  <si>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</si>
  <si>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</si>
  <si>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</si>
  <si>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</si>
  <si>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</si>
  <si>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</si>
  <si>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</si>
  <si>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</si>
  <si>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</si>
  <si>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</si>
  <si>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</si>
  <si>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</si>
  <si>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</si>
  <si>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</si>
  <si>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</si>
  <si>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</si>
  <si>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</si>
  <si>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</si>
  <si>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</si>
  <si>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</si>
  <si>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</si>
  <si>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</si>
  <si>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</si>
  <si>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</si>
  <si>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</si>
  <si>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</si>
  <si>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</si>
  <si>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</si>
  <si>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</si>
  <si>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</si>
  <si>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</si>
  <si>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</si>
  <si>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</si>
  <si>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</si>
  <si>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</si>
  <si>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</si>
  <si>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</si>
  <si>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</si>
  <si>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</si>
  <si>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</si>
  <si>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</si>
  <si>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</si>
  <si>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</si>
  <si>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</si>
  <si>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</si>
  <si>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</si>
  <si>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</si>
  <si>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</si>
  <si>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</si>
  <si>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</si>
  <si>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</si>
  <si>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</si>
  <si>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</si>
  <si>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</si>
  <si>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</si>
  <si>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</si>
  <si>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</si>
  <si>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</si>
  <si>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</si>
  <si>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</si>
  <si>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</si>
  <si>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</si>
  <si>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</si>
  <si>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</si>
  <si>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</si>
  <si>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</si>
  <si>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</si>
  <si>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</si>
  <si>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</si>
  <si>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</si>
  <si>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</si>
  <si>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</si>
  <si>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</si>
  <si>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</si>
  <si>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</si>
  <si>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</si>
  <si>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</si>
  <si>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</si>
  <si>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</si>
  <si>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</si>
  <si>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</si>
  <si>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</si>
  <si>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</si>
  <si>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</si>
  <si>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</si>
  <si>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</si>
  <si>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</si>
  <si>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</si>
  <si>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</si>
  <si>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</si>
  <si>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</si>
  <si>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</si>
  <si>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</si>
  <si>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</si>
  <si>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</si>
  <si>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</si>
  <si>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</si>
  <si>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</si>
  <si>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</si>
  <si>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</si>
  <si>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</si>
  <si>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</si>
  <si>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</si>
  <si>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</si>
  <si>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</si>
  <si>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</si>
  <si>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</si>
  <si>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</si>
  <si>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</si>
  <si>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</si>
  <si>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</si>
  <si>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</si>
  <si>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</si>
  <si>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</si>
  <si>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</si>
  <si>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</si>
  <si>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</si>
  <si>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</si>
  <si>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</si>
  <si>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</si>
  <si>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</si>
  <si>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</si>
  <si>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</si>
  <si>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</si>
  <si>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</si>
  <si>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</si>
  <si>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</si>
  <si>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</si>
  <si>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</si>
  <si>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</si>
  <si>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</si>
  <si>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</si>
  <si>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</si>
  <si>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</si>
  <si>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</si>
  <si>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</si>
  <si>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</si>
  <si>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</si>
  <si>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</si>
  <si>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</si>
  <si>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</si>
  <si>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</si>
  <si>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</si>
  <si>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</si>
  <si>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</si>
  <si>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</si>
  <si>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</si>
  <si>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</si>
  <si>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</si>
  <si>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</si>
  <si>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</si>
  <si>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</si>
  <si>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</si>
  <si>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</si>
  <si>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</si>
  <si>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</si>
  <si>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</si>
  <si>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</si>
  <si>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</si>
  <si>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</si>
  <si>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</si>
  <si>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</si>
  <si>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</si>
  <si>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</si>
  <si>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</si>
  <si>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</si>
  <si>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</si>
  <si>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</si>
  <si>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</si>
  <si>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</si>
  <si>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</si>
  <si>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</si>
  <si>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</si>
  <si>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</si>
  <si>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</si>
  <si>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</si>
  <si>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</si>
  <si>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</si>
  <si>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</si>
  <si>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</si>
  <si>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</si>
  <si>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</si>
  <si>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</si>
  <si>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</si>
  <si>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</si>
  <si>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</si>
  <si>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</si>
  <si>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</si>
  <si>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</si>
  <si>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</si>
  <si>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</si>
  <si>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</si>
  <si>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</si>
  <si>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</si>
  <si>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</si>
  <si>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</si>
  <si>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</si>
  <si>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</si>
  <si>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</si>
  <si>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</si>
  <si>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</si>
  <si>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</si>
  <si>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</si>
  <si>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</si>
  <si>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</si>
  <si>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</si>
  <si>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</si>
  <si>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</si>
  <si>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</si>
  <si>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</si>
  <si>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</si>
  <si>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</si>
  <si>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</si>
  <si>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</si>
  <si>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</si>
  <si>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</si>
  <si>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</si>
  <si>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</si>
  <si>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</si>
  <si>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</si>
  <si>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</si>
  <si>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</si>
  <si>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</si>
  <si>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</si>
  <si>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</si>
  <si>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</si>
  <si>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</si>
  <si>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</si>
  <si>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</si>
  <si>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</si>
  <si>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</si>
  <si>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</si>
  <si>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</si>
  <si>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</si>
  <si>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</si>
  <si>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</si>
  <si>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</si>
  <si>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</si>
  <si>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</si>
  <si>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</si>
  <si>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</si>
  <si>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</si>
  <si>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</si>
  <si>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</si>
  <si>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</si>
  <si>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</si>
  <si>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</si>
  <si>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</si>
  <si>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</si>
  <si>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</si>
  <si>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</si>
  <si>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</si>
  <si>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</si>
  <si>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</si>
  <si>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</si>
  <si>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</si>
  <si>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</si>
  <si>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</si>
  <si>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</si>
  <si>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</si>
  <si>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</si>
  <si>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</si>
  <si>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</si>
  <si>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</si>
  <si>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</si>
  <si>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</si>
  <si>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</si>
  <si>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</si>
  <si>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</si>
  <si>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</si>
  <si>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</si>
  <si>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</si>
  <si>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</si>
  <si>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</si>
  <si>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</si>
  <si>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</si>
  <si>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</si>
  <si>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</si>
  <si>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</si>
  <si>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</si>
  <si>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</si>
  <si>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</si>
  <si>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</si>
  <si>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</si>
  <si>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</si>
  <si>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</si>
  <si>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</si>
  <si>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</si>
  <si>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</si>
  <si>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</si>
  <si>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</si>
  <si>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</si>
  <si>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</si>
  <si>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</si>
  <si>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</si>
  <si>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</si>
  <si>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</si>
  <si>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</si>
  <si>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</si>
  <si>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</si>
  <si>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</si>
  <si>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</si>
  <si>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</si>
  <si>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</si>
  <si>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</si>
  <si>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</si>
  <si>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</si>
  <si>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</si>
  <si>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</si>
  <si>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</si>
  <si>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</si>
  <si>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</si>
  <si>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</si>
  <si>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</si>
  <si>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</si>
  <si>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</si>
  <si>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</si>
  <si>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</si>
  <si>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</si>
  <si>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</si>
  <si>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</si>
  <si>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</si>
  <si>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</si>
  <si>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</si>
  <si>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</si>
  <si>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</si>
  <si>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</si>
  <si>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</si>
  <si>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</si>
  <si>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</si>
  <si>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</si>
  <si>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</si>
  <si>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</si>
  <si>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</si>
  <si>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</si>
  <si>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</si>
  <si>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</si>
  <si>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</si>
  <si>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</si>
  <si>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</si>
  <si>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</si>
  <si>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</si>
  <si>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</si>
  <si>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</si>
  <si>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</si>
  <si>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</si>
  <si>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</si>
  <si>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</si>
  <si>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</si>
  <si>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</si>
  <si>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</si>
  <si>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</si>
  <si>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</si>
  <si>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</si>
  <si>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</si>
  <si>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</si>
  <si>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</si>
  <si>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</si>
  <si>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</si>
  <si>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</si>
  <si>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</si>
  <si>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</si>
  <si>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</si>
  <si>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</si>
  <si>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</si>
  <si>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</si>
  <si>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</si>
  <si>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</si>
  <si>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</si>
  <si>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</si>
  <si>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</si>
  <si>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</si>
  <si>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</si>
  <si>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</si>
  <si>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</si>
  <si>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</si>
  <si>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</si>
  <si>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</si>
  <si>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</si>
  <si>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</si>
  <si>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</si>
  <si>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</si>
  <si>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</si>
  <si>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</si>
  <si>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</si>
  <si>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</si>
  <si>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</si>
  <si>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</si>
  <si>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</si>
  <si>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</si>
  <si>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</si>
  <si>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</si>
  <si>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</si>
  <si>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</si>
  <si>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</si>
  <si>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</si>
  <si>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</si>
  <si>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</si>
  <si>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</si>
  <si>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</si>
  <si>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</si>
  <si>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</si>
  <si>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</si>
  <si>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</si>
  <si>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</si>
  <si>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</si>
  <si>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</si>
  <si>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</si>
  <si>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</si>
  <si>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</si>
  <si>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</si>
  <si>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</si>
  <si>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</si>
  <si>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</si>
  <si>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</si>
  <si>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</si>
  <si>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</si>
  <si>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</si>
  <si>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</si>
  <si>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</si>
  <si>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</si>
  <si>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</si>
  <si>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</si>
  <si>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</si>
  <si>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</si>
  <si>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</si>
  <si>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</si>
  <si>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</si>
  <si>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</si>
  <si>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</si>
  <si>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</si>
  <si>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</si>
  <si>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</si>
  <si>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</si>
  <si>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</si>
  <si>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</si>
  <si>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</si>
  <si>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</si>
  <si>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</si>
  <si>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</si>
  <si>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</si>
  <si>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</si>
  <si>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</si>
  <si>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</si>
  <si>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</si>
  <si>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</si>
  <si>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</si>
  <si>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</si>
  <si>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</si>
  <si>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</si>
  <si>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</si>
  <si>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</si>
  <si>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</si>
  <si>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</si>
  <si>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</si>
  <si>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</si>
  <si>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</si>
  <si>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</si>
  <si>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</si>
  <si>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</si>
  <si>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</si>
  <si>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</si>
  <si>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</si>
  <si>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</si>
  <si>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</si>
  <si>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</si>
  <si>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</si>
  <si>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</si>
  <si>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</si>
  <si>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</si>
  <si>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</si>
  <si>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</si>
  <si>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</si>
  <si>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</si>
  <si>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</si>
  <si>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</si>
  <si>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</si>
  <si>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</si>
  <si>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</si>
  <si>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</si>
  <si>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</si>
  <si>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</si>
  <si>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</si>
  <si>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</si>
  <si>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</si>
  <si>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</si>
  <si>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</si>
  <si>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</si>
  <si>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</si>
  <si>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</si>
  <si>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</si>
  <si>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</si>
  <si>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</si>
  <si>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</si>
  <si>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</si>
  <si>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</si>
  <si>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</si>
  <si>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</si>
  <si>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</si>
  <si>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</si>
  <si>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</si>
  <si>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</si>
  <si>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</si>
  <si>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</si>
  <si>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</si>
  <si>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</si>
  <si>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</si>
  <si>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</si>
  <si>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</si>
  <si>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</si>
  <si>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</si>
  <si>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</si>
  <si>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</si>
  <si>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</si>
  <si>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</si>
  <si>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</si>
  <si>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</si>
  <si>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</si>
  <si>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</si>
  <si>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</si>
  <si>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</si>
  <si>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</si>
  <si>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</si>
  <si>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</si>
  <si>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</si>
  <si>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</si>
  <si>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</si>
  <si>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</si>
  <si>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</si>
  <si>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</si>
  <si>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</si>
  <si>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</si>
  <si>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</si>
  <si>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</si>
  <si>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</si>
  <si>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</si>
  <si>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</si>
  <si>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</si>
  <si>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</si>
  <si>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</si>
  <si>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</si>
  <si>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</si>
  <si>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</si>
  <si>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</si>
  <si>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</si>
  <si>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</si>
  <si>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</si>
  <si>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</si>
  <si>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</si>
  <si>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</si>
  <si>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</si>
  <si>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</si>
  <si>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</si>
  <si>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</si>
  <si>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</si>
  <si>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</si>
  <si>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</si>
  <si>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</si>
  <si>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</si>
  <si>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</si>
  <si>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</si>
  <si>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</si>
  <si>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</si>
  <si>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</si>
  <si>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</si>
  <si>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</si>
  <si>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</si>
  <si>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</si>
  <si>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</si>
  <si>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</si>
  <si>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</si>
  <si>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</si>
  <si>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</si>
  <si>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</si>
  <si>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</si>
  <si>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</si>
  <si>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</si>
  <si>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</si>
  <si>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</si>
  <si>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</si>
  <si>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</si>
  <si>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</si>
  <si>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</si>
  <si>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</si>
  <si>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</si>
  <si>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</si>
  <si>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</si>
  <si>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</si>
  <si>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</si>
  <si>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</si>
  <si>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</si>
  <si>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</si>
  <si>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</si>
  <si>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</si>
  <si>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</si>
  <si>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</si>
  <si>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</si>
  <si>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</si>
  <si>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</si>
  <si>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</si>
  <si>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</si>
  <si>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</si>
  <si>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</si>
  <si>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</si>
  <si>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</si>
  <si>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</si>
  <si>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</si>
  <si>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</si>
  <si>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</si>
  <si>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</si>
  <si>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</si>
  <si>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</si>
  <si>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</si>
  <si>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</si>
  <si>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</si>
  <si>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</si>
  <si>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</si>
  <si>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</si>
  <si>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</si>
  <si>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</si>
  <si>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</si>
  <si>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</si>
  <si>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</si>
  <si>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</si>
  <si>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</si>
  <si>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</si>
  <si>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</si>
  <si>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</si>
  <si>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</si>
  <si>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</si>
  <si>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</si>
  <si>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</si>
  <si>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</si>
  <si>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</si>
  <si>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</si>
  <si>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</si>
  <si>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</si>
  <si>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</si>
  <si>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</si>
  <si>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</si>
  <si>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</si>
  <si>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</si>
  <si>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</si>
  <si>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</si>
  <si>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</si>
  <si>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</si>
  <si>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</si>
  <si>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</si>
  <si>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</si>
  <si>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</si>
  <si>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</si>
  <si>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</si>
  <si>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</si>
  <si>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</si>
  <si>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</si>
  <si>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</si>
  <si>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</si>
  <si>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</si>
  <si>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</si>
  <si>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</si>
  <si>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</si>
  <si>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</si>
  <si>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</si>
  <si>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</si>
  <si>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</si>
  <si>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</si>
  <si>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</si>
  <si>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</si>
  <si>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</si>
  <si>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</si>
  <si>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</si>
  <si>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</si>
  <si>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</si>
  <si>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</si>
  <si>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</si>
  <si>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</si>
  <si>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</si>
  <si>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</si>
  <si>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</si>
  <si>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</si>
  <si>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</si>
  <si>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</si>
  <si>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</si>
  <si>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</si>
  <si>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</si>
  <si>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</si>
  <si>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</si>
  <si>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</si>
  <si>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</si>
  <si>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</si>
  <si>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</si>
  <si>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</si>
  <si>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</si>
  <si>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</si>
  <si>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</si>
  <si>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</si>
  <si>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</si>
  <si>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</si>
  <si>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</si>
  <si>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</si>
  <si>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</si>
  <si>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</si>
  <si>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</si>
  <si>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</si>
  <si>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</si>
  <si>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</si>
  <si>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</si>
  <si>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</si>
  <si>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</si>
  <si>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</si>
  <si>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</si>
  <si>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</si>
  <si>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</si>
  <si>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</si>
  <si>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</si>
  <si>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</si>
  <si>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</si>
  <si>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</si>
  <si>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</si>
  <si>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</si>
  <si>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</si>
  <si>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</si>
  <si>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</si>
  <si>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</si>
  <si>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</si>
  <si>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</si>
  <si>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</si>
  <si>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</si>
  <si>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</si>
  <si>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</si>
  <si>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</si>
  <si>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</si>
  <si>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</si>
  <si>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</si>
  <si>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</si>
  <si>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</si>
  <si>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</si>
  <si>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</si>
  <si>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</si>
  <si>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</si>
  <si>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</si>
  <si>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</si>
  <si>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</si>
  <si>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</si>
  <si>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</si>
  <si>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</si>
  <si>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</si>
  <si>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</si>
  <si>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</si>
  <si>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</si>
  <si>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</si>
  <si>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</si>
  <si>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</si>
  <si>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</si>
  <si>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</si>
  <si>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</si>
  <si>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</si>
  <si>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</si>
  <si>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</si>
  <si>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</si>
  <si>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</si>
  <si>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</si>
  <si>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</si>
  <si>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</si>
  <si>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</si>
  <si>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</si>
  <si>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</si>
  <si>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</si>
  <si>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</si>
  <si>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</si>
  <si>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</si>
  <si>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</si>
  <si>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</si>
  <si>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</si>
  <si>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</si>
  <si>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</si>
  <si>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</si>
  <si>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</si>
  <si>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</si>
  <si>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</si>
  <si>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</si>
  <si>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</si>
  <si>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</si>
  <si>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</si>
  <si>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</si>
  <si>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</si>
  <si>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</si>
  <si>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</si>
  <si>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</si>
  <si>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</si>
  <si>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</si>
  <si>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</si>
  <si>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</si>
  <si>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</si>
  <si>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</si>
  <si>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</si>
  <si>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</si>
  <si>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</si>
  <si>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</si>
  <si>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</si>
  <si>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</si>
  <si>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</si>
  <si>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</si>
  <si>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</si>
  <si>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</si>
  <si>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</si>
  <si>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</si>
  <si>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</si>
  <si>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</si>
  <si>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</si>
  <si>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</si>
  <si>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</si>
  <si>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</si>
  <si>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</si>
  <si>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</si>
  <si>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</si>
  <si>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</si>
  <si>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</si>
  <si>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</si>
  <si>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</si>
  <si>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</si>
  <si>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</si>
  <si>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</si>
  <si>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</si>
  <si>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</si>
  <si>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</si>
  <si>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</si>
  <si>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</si>
  <si>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</si>
  <si>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</si>
  <si>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</si>
  <si>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</si>
  <si>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</si>
  <si>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</si>
  <si>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</si>
  <si>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</si>
  <si>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</si>
  <si>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</si>
  <si>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</si>
  <si>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</si>
  <si>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</si>
  <si>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</si>
  <si>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</si>
  <si>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</si>
  <si>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</si>
  <si>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</si>
  <si>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</si>
  <si>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</si>
  <si>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</si>
  <si>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</si>
  <si>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</si>
  <si>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</si>
  <si>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</si>
  <si>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</si>
  <si>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</si>
  <si>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</si>
  <si>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</si>
  <si>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</si>
  <si>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</si>
  <si>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</si>
  <si>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</si>
  <si>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</si>
  <si>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</si>
  <si>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</si>
  <si>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</si>
  <si>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</si>
  <si>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</si>
  <si>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</si>
  <si>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</si>
  <si>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</si>
  <si>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</si>
  <si>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</si>
  <si>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</si>
  <si>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</si>
  <si>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</si>
  <si>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</si>
  <si>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</si>
  <si>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</si>
  <si>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</si>
  <si>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</si>
  <si>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</si>
  <si>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</si>
  <si>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</si>
  <si>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</si>
  <si>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</si>
  <si>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</si>
  <si>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</si>
  <si>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</si>
  <si>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</si>
  <si>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</si>
  <si>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</si>
  <si>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</si>
  <si>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</si>
  <si>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</si>
  <si>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</si>
  <si>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</si>
  <si>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</si>
  <si>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</si>
  <si>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</si>
  <si>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</si>
  <si>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</si>
  <si>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</si>
  <si>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</si>
  <si>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</si>
  <si>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</si>
  <si>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</si>
  <si>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</si>
  <si>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</si>
  <si>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</si>
  <si>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</si>
  <si>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</si>
  <si>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</si>
  <si>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</si>
  <si>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</si>
  <si>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</si>
  <si>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</si>
  <si>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</si>
  <si>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</si>
  <si>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</si>
  <si>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</si>
  <si>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</si>
  <si>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</si>
  <si>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</si>
  <si>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</si>
  <si>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</si>
  <si>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</si>
  <si>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</si>
  <si>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</si>
  <si>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</si>
  <si>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</si>
  <si>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</si>
  <si>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</si>
  <si>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</si>
  <si>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</si>
  <si>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</si>
  <si>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</si>
  <si>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</si>
  <si>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</si>
  <si>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</si>
  <si>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</si>
  <si>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</si>
  <si>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</si>
  <si>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</si>
  <si>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</si>
  <si>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</si>
  <si>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</si>
  <si>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</si>
  <si>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</si>
  <si>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</si>
  <si>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</si>
  <si>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</si>
  <si>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</si>
  <si>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</si>
  <si>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</si>
  <si>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</si>
  <si>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</si>
  <si>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</si>
  <si>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</si>
  <si>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</si>
  <si>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</si>
  <si>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</si>
  <si>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</si>
  <si>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</si>
  <si>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</si>
  <si>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</si>
  <si>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</si>
  <si>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</si>
  <si>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</si>
  <si>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</si>
  <si>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</si>
  <si>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</si>
  <si>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</si>
  <si>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</si>
  <si>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</si>
  <si>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</si>
  <si>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</si>
  <si>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</si>
  <si>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</si>
  <si>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</si>
  <si>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</si>
  <si>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</si>
  <si>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</si>
  <si>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</si>
  <si>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</si>
  <si>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</si>
  <si>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</si>
  <si>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</si>
  <si>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</si>
  <si>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</si>
  <si>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</si>
  <si>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</si>
  <si>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</si>
  <si>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</si>
  <si>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</si>
  <si>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</si>
  <si>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</si>
  <si>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</si>
  <si>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</si>
  <si>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</si>
  <si>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</si>
  <si>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</si>
  <si>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</si>
  <si>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</si>
  <si>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</si>
  <si>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</si>
  <si>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</si>
  <si>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</si>
  <si>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</si>
  <si>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</si>
  <si>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</si>
  <si>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</si>
  <si>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</si>
  <si>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</si>
  <si>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</si>
  <si>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</si>
  <si>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</si>
  <si>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</si>
  <si>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</si>
  <si>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</si>
  <si>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</si>
  <si>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</si>
  <si>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</si>
  <si>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</si>
  <si>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</si>
  <si>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</si>
  <si>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</si>
  <si>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</si>
  <si>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</si>
  <si>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</si>
  <si>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</si>
  <si>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</si>
  <si>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</si>
  <si>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</si>
  <si>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</si>
  <si>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</si>
  <si>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</si>
  <si>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</si>
  <si>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</si>
  <si>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</si>
  <si>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</si>
  <si>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</si>
  <si>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</si>
  <si>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</si>
  <si>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</si>
  <si>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</si>
  <si>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</si>
  <si>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</si>
  <si>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</si>
  <si>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</si>
  <si>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</si>
  <si>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</si>
  <si>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</si>
  <si>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</si>
  <si>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</si>
  <si>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</si>
  <si>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</si>
  <si>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</si>
  <si>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</si>
  <si>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</si>
  <si>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</si>
  <si>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</si>
  <si>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</si>
  <si>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</si>
  <si>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</si>
  <si>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</si>
  <si>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</si>
  <si>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</si>
  <si>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</si>
  <si>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</si>
  <si>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</si>
  <si>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</si>
  <si>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</si>
  <si>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</si>
  <si>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</si>
  <si>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</si>
  <si>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</si>
  <si>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</si>
  <si>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</si>
  <si>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</si>
  <si>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</si>
  <si>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</si>
  <si>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</si>
  <si>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</si>
  <si>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</si>
  <si>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</si>
  <si>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</si>
  <si>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</si>
  <si>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</si>
  <si>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</si>
  <si>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</si>
  <si>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</si>
  <si>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</si>
  <si>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</si>
  <si>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</si>
  <si>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</si>
  <si>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</si>
  <si>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</si>
  <si>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</si>
  <si>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</si>
  <si>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</si>
  <si>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</si>
  <si>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</si>
  <si>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</si>
  <si>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</si>
  <si>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</si>
  <si>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</si>
  <si>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</si>
  <si>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</si>
  <si>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</si>
  <si>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</si>
  <si>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</si>
  <si>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</si>
  <si>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</si>
  <si>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</si>
  <si>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</si>
  <si>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</si>
  <si>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</si>
  <si>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</si>
  <si>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</si>
  <si>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</si>
  <si>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</si>
  <si>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</si>
  <si>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</si>
  <si>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</si>
  <si>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</si>
  <si>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</si>
  <si>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</si>
  <si>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</si>
  <si>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</si>
  <si>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</si>
  <si>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</si>
  <si>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</si>
  <si>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</si>
  <si>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</si>
  <si>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</si>
  <si>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</si>
  <si>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</si>
  <si>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</si>
  <si>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</si>
  <si>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</si>
  <si>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</si>
  <si>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</si>
  <si>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</si>
  <si>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</si>
  <si>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</si>
  <si>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</si>
  <si>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</si>
  <si>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</si>
  <si>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</si>
  <si>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</si>
  <si>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</si>
  <si>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</si>
  <si>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</si>
  <si>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</si>
  <si>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</si>
  <si>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</si>
  <si>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</si>
  <si>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</si>
  <si>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</si>
  <si>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</si>
  <si>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</si>
  <si>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</si>
  <si>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</si>
  <si>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</si>
  <si>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</si>
  <si>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</si>
  <si>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</si>
  <si>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</si>
  <si>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</si>
  <si>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</si>
  <si>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</si>
  <si>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</si>
  <si>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</si>
  <si>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</si>
  <si>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</si>
  <si>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</si>
  <si>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</si>
  <si>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</si>
  <si>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</si>
  <si>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</si>
  <si>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</si>
  <si>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</si>
  <si>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</si>
  <si>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</si>
  <si>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</si>
  <si>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</si>
  <si>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</si>
  <si>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</si>
  <si>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</si>
  <si>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</si>
  <si>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</si>
  <si>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</si>
  <si>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</si>
  <si>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</si>
  <si>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</si>
  <si>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</si>
  <si>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</si>
  <si>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</si>
  <si>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</si>
  <si>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</si>
  <si>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</si>
  <si>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</si>
  <si>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</si>
  <si>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</si>
  <si>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</si>
  <si>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</si>
  <si>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</si>
  <si>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</si>
  <si>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</si>
  <si>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</si>
  <si>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</si>
  <si>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</si>
  <si>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</si>
  <si>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</si>
  <si>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</si>
  <si>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</si>
  <si>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</si>
  <si>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</si>
  <si>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</si>
  <si>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</si>
  <si>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</si>
  <si>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</si>
  <si>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</si>
  <si>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</si>
  <si>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</si>
  <si>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</si>
  <si>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</si>
  <si>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</si>
  <si>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</si>
  <si>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</si>
  <si>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</si>
  <si>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</si>
  <si>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</si>
  <si>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</si>
  <si>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</si>
  <si>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</si>
  <si>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</si>
  <si>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</si>
  <si>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</si>
  <si>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</si>
  <si>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</si>
  <si>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</si>
  <si>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</si>
  <si>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</si>
  <si>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</si>
  <si>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</si>
  <si>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</si>
  <si>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</si>
  <si>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</si>
  <si>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</si>
  <si>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</si>
  <si>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</si>
  <si>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</si>
  <si>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</si>
  <si>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</si>
  <si>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</si>
  <si>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</si>
  <si>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</si>
  <si>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</si>
  <si>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</si>
  <si>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</si>
  <si>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</si>
  <si>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</si>
  <si>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</si>
  <si>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</si>
  <si>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</si>
  <si>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</si>
  <si>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</si>
  <si>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</si>
  <si>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</si>
  <si>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</si>
  <si>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</si>
  <si>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</si>
  <si>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</si>
  <si>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</si>
  <si>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</si>
  <si>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</si>
  <si>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</si>
  <si>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</si>
  <si>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</si>
  <si>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</si>
  <si>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</si>
  <si>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</si>
  <si>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</si>
  <si>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</si>
  <si>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</si>
  <si>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</si>
  <si>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</si>
  <si>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</si>
  <si>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</si>
  <si>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</si>
  <si>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</si>
  <si>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</si>
  <si>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</si>
  <si>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</si>
  <si>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</si>
  <si>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</si>
  <si>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</si>
  <si>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</si>
  <si>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</si>
  <si>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</si>
  <si>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</si>
  <si>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</si>
  <si>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</si>
  <si>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</si>
  <si>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</si>
  <si>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</si>
  <si>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</si>
  <si>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</si>
  <si>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</si>
  <si>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</si>
  <si>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</si>
  <si>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</si>
  <si>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</si>
  <si>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</si>
  <si>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</si>
  <si>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</si>
  <si>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</si>
  <si>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</si>
  <si>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</si>
  <si>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</si>
  <si>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</si>
  <si>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</si>
  <si>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</si>
  <si>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</si>
  <si>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</si>
  <si>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</si>
  <si>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</si>
  <si>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</si>
  <si>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</si>
  <si>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</si>
  <si>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</si>
  <si>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</si>
  <si>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</si>
  <si>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</si>
  <si>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</si>
  <si>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</si>
  <si>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</si>
  <si>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</si>
  <si>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</si>
  <si>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</si>
  <si>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</si>
  <si>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</si>
  <si>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</si>
  <si>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</si>
  <si>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</si>
  <si>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</si>
  <si>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</si>
  <si>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</si>
  <si>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</si>
  <si>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</si>
  <si>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</si>
  <si>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</si>
  <si>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</si>
  <si>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</si>
  <si>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</si>
  <si>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</si>
  <si>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苏2019丰县不动产权第0005779号</t>
    <phoneticPr fontId="228" type="noConversion"/>
  </si>
  <si>
    <t>苏2019丰县不动产权第0005764号</t>
    <phoneticPr fontId="228" type="noConversion"/>
  </si>
  <si>
    <t>苏2019丰县不动产权第0005778号</t>
    <phoneticPr fontId="228" type="noConversion"/>
  </si>
  <si>
    <t>白帝河南，西环路西</t>
    <phoneticPr fontId="228" type="noConversion"/>
  </si>
  <si>
    <t>商业</t>
  </si>
  <si>
    <t>总体规划</t>
    <phoneticPr fontId="228" type="noConversion"/>
  </si>
  <si>
    <t>项目总用地面积</t>
    <phoneticPr fontId="228" type="noConversion"/>
  </si>
  <si>
    <t>总建筑面积</t>
    <phoneticPr fontId="228" type="noConversion"/>
  </si>
  <si>
    <t>地上建筑面积</t>
    <phoneticPr fontId="228" type="noConversion"/>
  </si>
  <si>
    <t>住宅</t>
    <phoneticPr fontId="228" type="noConversion"/>
  </si>
  <si>
    <t>商业</t>
    <phoneticPr fontId="228" type="noConversion"/>
  </si>
  <si>
    <t>保温层</t>
    <phoneticPr fontId="228" type="noConversion"/>
  </si>
  <si>
    <t>配套</t>
    <phoneticPr fontId="228" type="noConversion"/>
  </si>
  <si>
    <t>社区服务用房</t>
    <phoneticPr fontId="228" type="noConversion"/>
  </si>
  <si>
    <t>物业管理用房</t>
    <phoneticPr fontId="228" type="noConversion"/>
  </si>
  <si>
    <t>文化活动站</t>
    <phoneticPr fontId="228" type="noConversion"/>
  </si>
  <si>
    <t>消控室</t>
    <phoneticPr fontId="228" type="noConversion"/>
  </si>
  <si>
    <t>配电房</t>
    <phoneticPr fontId="228" type="noConversion"/>
  </si>
  <si>
    <t>开闭所</t>
    <phoneticPr fontId="228" type="noConversion"/>
  </si>
  <si>
    <t>卫生站</t>
    <phoneticPr fontId="228" type="noConversion"/>
  </si>
  <si>
    <t>水泵房</t>
    <phoneticPr fontId="228" type="noConversion"/>
  </si>
  <si>
    <t>邮电所</t>
    <phoneticPr fontId="228" type="noConversion"/>
  </si>
  <si>
    <t>储蓄所</t>
    <phoneticPr fontId="228" type="noConversion"/>
  </si>
  <si>
    <t>便利店</t>
    <phoneticPr fontId="228" type="noConversion"/>
  </si>
  <si>
    <t>养老服务用房</t>
    <phoneticPr fontId="228" type="noConversion"/>
  </si>
  <si>
    <t>幼儿园</t>
    <phoneticPr fontId="228" type="noConversion"/>
  </si>
  <si>
    <t>公厕</t>
    <phoneticPr fontId="228" type="noConversion"/>
  </si>
  <si>
    <t>地下建筑面积</t>
    <phoneticPr fontId="228" type="noConversion"/>
  </si>
  <si>
    <t>人防建筑面积</t>
    <phoneticPr fontId="228" type="noConversion"/>
  </si>
  <si>
    <t>非人防建筑面积</t>
    <phoneticPr fontId="228" type="noConversion"/>
  </si>
  <si>
    <t>其中</t>
    <phoneticPr fontId="228" type="noConversion"/>
  </si>
  <si>
    <t>土地面积</t>
    <phoneticPr fontId="228" type="noConversion"/>
  </si>
  <si>
    <t>施工证</t>
    <phoneticPr fontId="228" type="noConversion"/>
  </si>
  <si>
    <t>地上</t>
  </si>
  <si>
    <t>地上</t>
    <phoneticPr fontId="228" type="noConversion"/>
  </si>
  <si>
    <t>地下</t>
    <phoneticPr fontId="228" type="noConversion"/>
  </si>
  <si>
    <t>抵押物</t>
    <phoneticPr fontId="228" type="noConversion"/>
  </si>
  <si>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</si>
  <si>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</si>
  <si>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</si>
  <si>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</si>
  <si>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</si>
  <si>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</si>
  <si>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</si>
  <si>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</si>
  <si>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</si>
  <si>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</si>
  <si>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</si>
  <si>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</si>
  <si>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</si>
  <si>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</si>
  <si>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</si>
  <si>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</si>
  <si>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</si>
  <si>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</si>
  <si>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</si>
  <si>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</si>
  <si>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</si>
  <si>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</si>
  <si>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</si>
  <si>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</si>
  <si>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</si>
  <si>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</si>
  <si>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</si>
  <si>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</si>
  <si>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</si>
  <si>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</si>
  <si>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</si>
  <si>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</si>
  <si>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</si>
  <si>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</si>
  <si>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</si>
  <si>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</si>
  <si>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</si>
  <si>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</si>
  <si>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</si>
  <si>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</si>
  <si>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</si>
  <si>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</si>
  <si>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</si>
  <si>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</si>
  <si>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</si>
  <si>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</si>
  <si>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</si>
  <si>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</si>
  <si>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</si>
  <si>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</si>
  <si>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</si>
  <si>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</si>
  <si>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位于沛县经济开发区南环路南侧、汉风路东侧</t>
  </si>
  <si>
    <t>大于1并且小于或等于2</t>
  </si>
  <si>
    <t>2019-07-05</t>
  </si>
  <si>
    <t>徐州汉之源实业发展有限公司</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</si>
  <si>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</si>
  <si>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</si>
  <si>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</si>
  <si>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</si>
  <si>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</si>
  <si>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</si>
  <si>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</si>
  <si>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</si>
  <si>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</si>
  <si>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</si>
  <si>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</si>
  <si>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</si>
  <si>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</si>
  <si>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</si>
  <si>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</si>
  <si>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</si>
  <si>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</si>
  <si>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</si>
  <si>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</si>
  <si>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</si>
  <si>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</si>
  <si>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</si>
  <si>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</si>
  <si>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</si>
  <si>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</si>
  <si>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</si>
  <si>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</si>
  <si>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</si>
  <si>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</si>
  <si>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花径西、北环路南宗地二</t>
  </si>
  <si>
    <t>大于1并且小于或等于1.6</t>
  </si>
  <si>
    <t>2018-06-29</t>
  </si>
  <si>
    <t>睢宁金以德房地产开发有限公司</t>
  </si>
  <si>
    <t>花径西、北环路南宗地一</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</si>
  <si>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</si>
  <si>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</si>
  <si>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</si>
  <si>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</si>
  <si>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</si>
  <si>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</si>
  <si>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</si>
  <si>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</si>
  <si>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</si>
  <si>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一般</t>
    <phoneticPr fontId="26" type="noConversion"/>
  </si>
  <si>
    <t>六通</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</si>
  <si>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</si>
  <si>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</si>
  <si>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</si>
  <si>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</si>
  <si>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</si>
  <si>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</si>
  <si>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</si>
  <si>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</si>
  <si>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</si>
  <si>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</si>
  <si>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</si>
  <si>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</si>
  <si>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</si>
  <si>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</si>
  <si>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一期</t>
  </si>
  <si>
    <t>12#、19#、20#、21#、22#、23#、24#</t>
  </si>
  <si>
    <t>楼栋号</t>
  </si>
  <si>
    <t>总建面</t>
  </si>
  <si>
    <t>计容建面</t>
  </si>
  <si>
    <t>配套</t>
  </si>
  <si>
    <t>地下储藏室</t>
  </si>
  <si>
    <t>二期</t>
  </si>
  <si>
    <t>1#、6#、7#、8#、14#、15#、16#、17#、18#、25#、26#、27#、28#、29#及南区地下车库</t>
  </si>
  <si>
    <t>住宅</t>
    <phoneticPr fontId="228" type="noConversion"/>
  </si>
  <si>
    <t>物管用房</t>
    <phoneticPr fontId="228" type="noConversion"/>
  </si>
  <si>
    <t>文化活动站</t>
    <phoneticPr fontId="228" type="noConversion"/>
  </si>
  <si>
    <t>消控室</t>
    <phoneticPr fontId="228" type="noConversion"/>
  </si>
  <si>
    <t>地下储藏室</t>
    <phoneticPr fontId="228" type="noConversion"/>
  </si>
  <si>
    <t>地下车库</t>
    <phoneticPr fontId="228" type="noConversion"/>
  </si>
  <si>
    <t>土地面积</t>
    <phoneticPr fontId="228"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</si>
  <si>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</si>
  <si>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</si>
  <si>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</si>
  <si>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</si>
  <si>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</si>
  <si>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公园壹号</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</si>
  <si>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</si>
  <si>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</si>
  <si>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</si>
  <si>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</si>
  <si>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</si>
  <si>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</si>
  <si>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六通</t>
    <phoneticPr fontId="21" type="noConversion"/>
  </si>
  <si>
    <t>六通</t>
    <phoneticPr fontId="21" type="noConversion"/>
  </si>
  <si>
    <t>高层</t>
    <phoneticPr fontId="21" type="noConversion"/>
  </si>
  <si>
    <t>售价</t>
  </si>
  <si>
    <t>毛坯</t>
    <phoneticPr fontId="21" type="noConversion"/>
  </si>
  <si>
    <r>
      <t>估价对象</t>
    </r>
    <r>
      <rPr>
        <sz val="8"/>
        <color theme="1"/>
        <rFont val="Arial"/>
        <family val="2"/>
      </rPr>
      <t>1</t>
    </r>
  </si>
  <si>
    <t>江苏省徐州市丰县白帝河南，西环路西一宗住宅用地</t>
  </si>
  <si>
    <r>
      <t>苏（</t>
    </r>
    <r>
      <rPr>
        <sz val="9"/>
        <color theme="1"/>
        <rFont val="Arial"/>
        <family val="2"/>
      </rPr>
      <t>2019</t>
    </r>
    <r>
      <rPr>
        <sz val="9"/>
        <color theme="1"/>
        <rFont val="仿宋_GB2312"/>
        <family val="3"/>
        <charset val="134"/>
      </rPr>
      <t>）丰县不动产权第</t>
    </r>
    <r>
      <rPr>
        <sz val="9"/>
        <color theme="1"/>
        <rFont val="Arial"/>
        <family val="2"/>
      </rPr>
      <t>0005778</t>
    </r>
    <r>
      <rPr>
        <sz val="9"/>
        <color theme="1"/>
        <rFont val="仿宋_GB2312"/>
        <family val="3"/>
        <charset val="134"/>
      </rPr>
      <t>号</t>
    </r>
  </si>
  <si>
    <r>
      <t>估价对象</t>
    </r>
    <r>
      <rPr>
        <sz val="8"/>
        <color theme="1"/>
        <rFont val="Arial"/>
        <family val="2"/>
      </rPr>
      <t>2</t>
    </r>
  </si>
  <si>
    <r>
      <t>苏（</t>
    </r>
    <r>
      <rPr>
        <sz val="9"/>
        <color theme="1"/>
        <rFont val="Arial"/>
        <family val="2"/>
      </rPr>
      <t>2019</t>
    </r>
    <r>
      <rPr>
        <sz val="9"/>
        <color theme="1"/>
        <rFont val="仿宋_GB2312"/>
        <family val="3"/>
        <charset val="134"/>
      </rPr>
      <t>）丰县不动产权第</t>
    </r>
    <r>
      <rPr>
        <sz val="9"/>
        <color theme="1"/>
        <rFont val="Arial"/>
        <family val="2"/>
      </rPr>
      <t>0005779</t>
    </r>
    <r>
      <rPr>
        <sz val="9"/>
        <color theme="1"/>
        <rFont val="仿宋_GB2312"/>
        <family val="3"/>
        <charset val="134"/>
      </rPr>
      <t>号</t>
    </r>
  </si>
  <si>
    <r>
      <t>估价对象</t>
    </r>
    <r>
      <rPr>
        <sz val="8"/>
        <color theme="1"/>
        <rFont val="Arial"/>
        <family val="2"/>
      </rPr>
      <t>3</t>
    </r>
  </si>
  <si>
    <r>
      <t>苏（</t>
    </r>
    <r>
      <rPr>
        <sz val="9"/>
        <color theme="1"/>
        <rFont val="Arial"/>
        <family val="2"/>
      </rPr>
      <t>2019</t>
    </r>
    <r>
      <rPr>
        <sz val="9"/>
        <color theme="1"/>
        <rFont val="仿宋_GB2312"/>
        <family val="3"/>
        <charset val="134"/>
      </rPr>
      <t>）丰县不动产权第</t>
    </r>
    <r>
      <rPr>
        <sz val="9"/>
        <color theme="1"/>
        <rFont val="Arial"/>
        <family val="2"/>
      </rPr>
      <t>0005764</t>
    </r>
    <r>
      <rPr>
        <sz val="9"/>
        <color theme="1"/>
        <rFont val="仿宋_GB2312"/>
        <family val="3"/>
        <charset val="134"/>
      </rPr>
      <t>号</t>
    </r>
  </si>
  <si>
    <r>
      <t>2</t>
    </r>
    <r>
      <rPr>
        <sz val="11"/>
        <color theme="1"/>
        <rFont val="宋体"/>
        <family val="3"/>
        <charset val="134"/>
        <scheme val="minor"/>
      </rPr>
      <t>019年徐州1-12月份新建商品住宅成交（不含别墅）</t>
    </r>
    <phoneticPr fontId="228" type="noConversion"/>
  </si>
  <si>
    <t>月度</t>
    <phoneticPr fontId="228" type="noConversion"/>
  </si>
  <si>
    <t>成交套数</t>
    <phoneticPr fontId="228" type="noConversion"/>
  </si>
  <si>
    <t>成交均价（元/㎡）</t>
    <phoneticPr fontId="228" type="noConversion"/>
  </si>
  <si>
    <t>成交总额（万元）</t>
    <phoneticPr fontId="228" type="noConversion"/>
  </si>
  <si>
    <t>成交面积（㎡）</t>
    <phoneticPr fontId="228" type="noConversion"/>
  </si>
  <si>
    <t>合计</t>
    <phoneticPr fontId="228" type="noConversion"/>
  </si>
  <si>
    <t>一般</t>
  </si>
  <si>
    <t>较差</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</si>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</sst>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8"/>
      <name val="Microsoft YaHei Light"/>
      <family val="1"/>
    </font>
    <font>
      <sz val="8"/>
      <color theme="1"/>
      <name val="仿宋_GB2312"/>
      <family val="3"/>
      <charset val="134"/>
    </font>
    <font>
      <sz val="8"/>
      <color theme="1"/>
      <name val="Arial"/>
      <family val="2"/>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17" borderId="25" xfId="2"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275" fillId="0" borderId="0" xfId="0" applyFont="1" applyAlignment="1">
      <alignment horizontal="center" vertical="center"/>
    </xf>
    <xf numFmtId="0" fontId="275" fillId="0" borderId="0" xfId="0" applyFont="1" applyAlignment="1">
      <alignment horizontal="left" vertical="center" wrapText="1"/>
    </xf>
    <xf numFmtId="195" fontId="275" fillId="0" borderId="0" xfId="0" applyNumberFormat="1" applyFont="1" applyAlignment="1">
      <alignment horizontal="center" vertical="center"/>
    </xf>
    <xf numFmtId="0" fontId="275" fillId="0" borderId="8" xfId="0" applyFont="1" applyBorder="1" applyAlignment="1">
      <alignment horizontal="center" vertical="center"/>
    </xf>
    <xf numFmtId="0" fontId="275" fillId="0" borderId="19" xfId="0" applyFont="1" applyBorder="1" applyAlignment="1">
      <alignment horizontal="center" vertical="center"/>
    </xf>
    <xf numFmtId="0" fontId="275" fillId="0" borderId="19" xfId="0" applyFont="1" applyBorder="1" applyAlignment="1">
      <alignment horizontal="left" vertical="center" wrapText="1"/>
    </xf>
    <xf numFmtId="195" fontId="275" fillId="0" borderId="19" xfId="0" applyNumberFormat="1" applyFont="1" applyBorder="1" applyAlignment="1">
      <alignment horizontal="center"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276" fillId="0" borderId="154" xfId="0" applyFont="1" applyBorder="1" applyAlignment="1">
      <alignment horizontal="justify" vertical="center" wrapText="1"/>
    </xf>
    <xf numFmtId="0" fontId="276" fillId="0" borderId="155" xfId="0" applyFont="1" applyBorder="1" applyAlignment="1">
      <alignment horizontal="justify" vertical="center" wrapText="1"/>
    </xf>
    <xf numFmtId="0" fontId="278" fillId="0" borderId="155" xfId="0" applyFont="1" applyBorder="1" applyAlignment="1">
      <alignment horizontal="justify" vertical="center" wrapText="1"/>
    </xf>
    <xf numFmtId="0" fontId="173" fillId="0" borderId="155" xfId="0" applyFont="1" applyBorder="1" applyAlignment="1">
      <alignment horizontal="justify" vertical="center" wrapText="1"/>
    </xf>
    <xf numFmtId="0" fontId="277" fillId="0" borderId="155" xfId="0" applyFont="1" applyBorder="1" applyAlignment="1">
      <alignment horizontal="justify" vertical="center" wrapText="1"/>
    </xf>
    <xf numFmtId="0" fontId="276" fillId="0" borderId="156" xfId="0" applyFont="1" applyBorder="1" applyAlignment="1">
      <alignment horizontal="justify" vertical="center" wrapText="1"/>
    </xf>
    <xf numFmtId="0" fontId="276" fillId="0" borderId="157" xfId="0" applyFont="1" applyBorder="1" applyAlignment="1">
      <alignment horizontal="justify" vertical="center" wrapText="1"/>
    </xf>
    <xf numFmtId="0" fontId="278" fillId="0" borderId="157" xfId="0" applyFont="1" applyBorder="1" applyAlignment="1">
      <alignment horizontal="justify" vertical="center" wrapText="1"/>
    </xf>
    <xf numFmtId="0" fontId="173" fillId="0" borderId="157" xfId="0" applyFont="1" applyBorder="1" applyAlignment="1">
      <alignment horizontal="justify" vertical="center" wrapText="1"/>
    </xf>
    <xf numFmtId="0" fontId="277" fillId="0" borderId="157" xfId="0" applyFont="1" applyBorder="1" applyAlignment="1">
      <alignment horizontal="justify" vertical="center" wrapText="1"/>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277" fillId="0" borderId="158" xfId="0" applyFont="1" applyBorder="1" applyAlignment="1">
      <alignment horizontal="justify" vertical="center" wrapText="1"/>
    </xf>
    <xf numFmtId="0" fontId="277" fillId="0" borderId="156" xfId="0" applyFont="1" applyBorder="1" applyAlignment="1">
      <alignment horizontal="justify" vertical="center" wrapText="1"/>
    </xf>
    <xf numFmtId="0" fontId="145" fillId="0" borderId="5"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11</xdr:col>
      <xdr:colOff>608548</xdr:colOff>
      <xdr:row>60</xdr:row>
      <xdr:rowOff>132734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8419048" cy="4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0</xdr:colOff>
      <xdr:row>71</xdr:row>
      <xdr:rowOff>0</xdr:rowOff>
    </xdr:from>
    <xdr:to>
      <xdr:col>8</xdr:col>
      <xdr:colOff>46934</xdr:colOff>
      <xdr:row>89</xdr:row>
      <xdr:rowOff>151995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5533334" cy="3238095"/>
        </a:xfrm>
        <a:prstGeom prst="rect">
          <a:avLst/>
        </a:prstGeom>
      </xdr:spPr>
    </xdr:pic>
    <xdr:clientData/>
  </xdr:twoCellAnchor>
  <xdr:twoCellAnchor editAs="oneCell">
    <xdr:from>
      <xdr:col>0</xdr:col>
      <xdr:colOff>0</xdr:colOff>
      <xdr:row>90</xdr:row>
      <xdr:rowOff>0</xdr:rowOff>
    </xdr:from>
    <xdr:to>
      <xdr:col>9</xdr:col>
      <xdr:colOff>303991</xdr:colOff>
      <xdr:row>106</xdr:row>
      <xdr:rowOff>37753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6476191"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64;&#24030;&#20016;&#21439;&#22303;&#22320;&#20108;&#2639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商)"/>
      <sheetName val="Sheet1"/>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280846.05000000005</v>
          </cell>
          <cell r="C14">
            <v>110233.97</v>
          </cell>
          <cell r="D14">
            <v>17756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68319.51平方米。根据《建设工程规划许可证》[]、《出让合同》[]，估价对象规划建筑面积为145126.41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2020年4月14日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根据《国有土地使用证》[]，估价对象（分摊）出让国有建设用地使用权面积为68319.51平方米。根据《建设工程规划许可证》[]、《出让合同》[]，估价对象规划建筑面积为145126.41平方米。</v>
      </c>
    </row>
    <row r="16" spans="1:55" s="2828" customFormat="1">
      <c r="A16" s="2829" t="s">
        <v>2665</v>
      </c>
      <c r="B16" s="2830" t="str">
        <f>'预评函-1'!A22</f>
        <v>本次估价对象为出让国有建设用地使用权，《国有土地使用证》[]证载土地终止日期为住宅2088年3月12日、商业2058年3月12日车库2068年3月12日。截至估价期日，出让国有建设用地使用权剩余土地使用年限为。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估价期日：2020年4月14日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68319.509999999995</v>
      </c>
    </row>
    <row r="44" spans="1:2">
      <c r="A44" s="2829" t="s">
        <v>2736</v>
      </c>
      <c r="B44" s="2830" t="str">
        <f>'预评函-2'!O3</f>
        <v>规划建筑面积/㎡</v>
      </c>
    </row>
    <row r="45" spans="1:2">
      <c r="A45" s="2829" t="s">
        <v>2718</v>
      </c>
      <c r="B45" s="2830">
        <f>'预评函-2'!O5</f>
        <v>145126.41</v>
      </c>
    </row>
    <row r="46" spans="1:2">
      <c r="A46" s="2829" t="s">
        <v>2719</v>
      </c>
      <c r="B46" s="2830">
        <f ca="1">'预评函-2'!P5</f>
        <v>1870</v>
      </c>
    </row>
    <row r="47" spans="1:2">
      <c r="A47" s="2829" t="s">
        <v>2720</v>
      </c>
      <c r="B47" s="2830">
        <f ca="1">'预评函-2'!Q5</f>
        <v>880</v>
      </c>
    </row>
    <row r="48" spans="1:2">
      <c r="A48" s="2829" t="s">
        <v>2721</v>
      </c>
      <c r="B48" s="2830">
        <f ca="1">'预评函-2'!R5</f>
        <v>12776</v>
      </c>
    </row>
    <row r="49" spans="1:2">
      <c r="A49" s="2829" t="s">
        <v>2737</v>
      </c>
      <c r="B49" s="2830" t="str">
        <f>'预评函-2'!A6</f>
        <v>抵押价格</v>
      </c>
    </row>
    <row r="50" spans="1:2">
      <c r="A50" s="2829" t="s">
        <v>2722</v>
      </c>
      <c r="B50" s="2830">
        <f ca="1">'预评函-2'!R6</f>
        <v>12776</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4" sqref="C34:D3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73" t="str">
        <f>IF(B10="北京市","北京市",C10)&amp;F10&amp;B16&amp;"国有建设用地使用权"&amp;B9&amp;"预评估"</f>
        <v>出让国有建设用地使用权抵押价格预评估</v>
      </c>
      <c r="C1" s="3274"/>
      <c r="D1" s="3274"/>
      <c r="E1" s="3274"/>
      <c r="F1" s="3274"/>
      <c r="G1" s="3274"/>
      <c r="H1" s="3274"/>
      <c r="I1" s="3275"/>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c r="C3" s="1643" t="s">
        <v>1992</v>
      </c>
      <c r="D3" s="1642">
        <v>43935</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79"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80"/>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76"/>
      <c r="C12" s="3277"/>
      <c r="D12" s="3278"/>
      <c r="E12" s="1679" t="s">
        <v>2058</v>
      </c>
      <c r="F12" s="3294" t="s">
        <v>2886</v>
      </c>
      <c r="G12" s="3295"/>
      <c r="H12" s="3295"/>
      <c r="I12" s="3296"/>
      <c r="J12" s="1674"/>
      <c r="K12" s="1754"/>
      <c r="L12" s="1703"/>
      <c r="M12" s="1703"/>
      <c r="N12" s="1674"/>
      <c r="O12" s="1675"/>
      <c r="P12" s="1674"/>
      <c r="Q12" s="1674"/>
      <c r="R12" s="1674"/>
      <c r="S12" s="1674"/>
      <c r="T12" s="1674"/>
      <c r="U12" s="1674"/>
    </row>
    <row r="13" spans="1:21">
      <c r="A13" s="1667" t="s">
        <v>2056</v>
      </c>
      <c r="B13" s="3276"/>
      <c r="C13" s="3277"/>
      <c r="D13" s="3278"/>
      <c r="E13" s="1679" t="s">
        <v>2058</v>
      </c>
      <c r="F13" s="3294" t="s">
        <v>2887</v>
      </c>
      <c r="G13" s="3295"/>
      <c r="H13" s="3295"/>
      <c r="I13" s="3296"/>
      <c r="J13" s="1674"/>
      <c r="K13" s="1754"/>
      <c r="L13" s="1703"/>
      <c r="M13" s="1703"/>
      <c r="N13" s="1674"/>
      <c r="O13" s="1675"/>
      <c r="P13" s="1674"/>
      <c r="Q13" s="1674"/>
      <c r="R13" s="1674"/>
      <c r="S13" s="1674"/>
      <c r="T13" s="1674"/>
      <c r="U13" s="1674"/>
    </row>
    <row r="14" spans="1:21">
      <c r="A14" s="1641" t="s">
        <v>2059</v>
      </c>
      <c r="B14" s="1679"/>
      <c r="C14" s="1825" t="s">
        <v>3035</v>
      </c>
      <c r="D14" s="1713" t="str">
        <f>IF(C14="不一致","是否符合证载地类范围","")</f>
        <v/>
      </c>
      <c r="E14" s="1679"/>
      <c r="F14" s="1770" t="s">
        <v>3036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3002</v>
      </c>
      <c r="F16" s="1702"/>
      <c r="G16" s="1702" t="s">
        <v>3037</v>
      </c>
      <c r="H16" s="1702"/>
      <c r="I16" s="1666" t="s">
        <v>1951</v>
      </c>
      <c r="J16" s="1674"/>
      <c r="K16" s="2416" t="str">
        <f>IF(D17="","",D16&amp;TEXT(D17,"yyyy年m月d日;;"))</f>
        <v>住宅2088年3月12日</v>
      </c>
      <c r="L16" s="1679" t="str">
        <f>IF(OR(K16="",M16=""),"","、")</f>
        <v>、</v>
      </c>
      <c r="M16" s="2416" t="str">
        <f>IF(E17="","",E16&amp;TEXT(E17,"yyyy年m月d日;;"))</f>
        <v>商业2058年3月12日</v>
      </c>
      <c r="N16" s="1679" t="str">
        <f>IF(OR(M16="",O16=""),"","、")</f>
        <v/>
      </c>
      <c r="O16" s="2416" t="str">
        <f>IF(F17="","",F16&amp;TEXT(F17,"yyyy年m月d日;;"))</f>
        <v/>
      </c>
      <c r="P16" s="1679" t="str">
        <f>IF(OR(O16="",Q16=""),"","、")</f>
        <v/>
      </c>
      <c r="Q16" s="2416" t="str">
        <f>IF(G17="","",G16&amp;TEXT(G17,"yyyy年m月d日;;"))</f>
        <v>车库2068年3月12日</v>
      </c>
      <c r="R16" s="1679" t="str">
        <f>IF(OR(Q16="",S16=""),"","、")</f>
        <v/>
      </c>
      <c r="S16" s="2416" t="str">
        <f>IF(H17="","",H16&amp;TEXT(H17,"yyyy年m月d日;;"))</f>
        <v/>
      </c>
      <c r="T16" s="1679" t="str">
        <f>IF(OR(S16="",U16=""),"","、")</f>
        <v/>
      </c>
      <c r="U16" s="2416" t="str">
        <f>IF(I17="","",I16&amp;TEXT(I17,"yyyy年m月d日;;"))</f>
        <v/>
      </c>
    </row>
    <row r="17" spans="1:21">
      <c r="A17" s="1743"/>
      <c r="B17" s="1662"/>
      <c r="C17" s="1663" t="s">
        <v>1952</v>
      </c>
      <c r="D17" s="1680">
        <v>68739</v>
      </c>
      <c r="E17" s="1680">
        <v>57781</v>
      </c>
      <c r="F17" s="1680"/>
      <c r="G17" s="1680">
        <v>61434</v>
      </c>
      <c r="H17" s="1680"/>
      <c r="I17" s="1680"/>
      <c r="J17" s="1674"/>
      <c r="K17" s="2415" t="str">
        <f>CONCATENATE(K16,L16,M16,N16,O16,P16,Q16,R16,S16,T16,,U16)</f>
        <v>住宅2088年3月12日、商业2058年3月12日车库2068年3月12日</v>
      </c>
      <c r="L17" s="1703"/>
      <c r="M17" s="1703"/>
      <c r="N17" s="1674"/>
      <c r="O17" s="1675"/>
      <c r="P17" s="1674"/>
      <c r="Q17" s="1674"/>
      <c r="R17" s="1674"/>
      <c r="S17" s="1674"/>
      <c r="T17" s="1674"/>
      <c r="U17" s="1674"/>
    </row>
    <row r="18" spans="1:21">
      <c r="A18" s="1743"/>
      <c r="B18" s="1662"/>
      <c r="C18" s="1663" t="s">
        <v>1953</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67.95</v>
      </c>
      <c r="E19" s="1665">
        <f>IF(B16="出让",IF(E17="","",ROUNDDOWN(MIN((E17-$D$3)/365,E18),2)),E18)</f>
        <v>37.93</v>
      </c>
      <c r="F19" s="1665" t="str">
        <f>IF(B16="出让",IF(F17="","",ROUNDDOWN(MIN((F17-$D$3)/365,F18),2)),F18)</f>
        <v/>
      </c>
      <c r="G19" s="1665">
        <f>IF(B16="出让",IF(G17="","",ROUNDDOWN(MIN((G17-$D$3)/365,G18),2)),G18)</f>
        <v>47.94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91"/>
      <c r="E20" s="3292"/>
      <c r="F20" s="3292"/>
      <c r="G20" s="3292"/>
      <c r="H20" s="3292"/>
      <c r="I20" s="3293"/>
      <c r="J20" s="1674"/>
      <c r="K20" s="1754"/>
      <c r="L20" s="1703"/>
      <c r="M20" s="1703"/>
      <c r="N20" s="1674"/>
      <c r="O20" s="1675"/>
      <c r="P20" s="1674"/>
      <c r="Q20" s="1674"/>
      <c r="R20" s="1674"/>
      <c r="S20" s="1674"/>
      <c r="T20" s="1674"/>
      <c r="U20" s="1674"/>
    </row>
    <row r="21" spans="1:21">
      <c r="A21" s="1743" t="s">
        <v>1955</v>
      </c>
      <c r="B21" s="1744" t="s">
        <v>1956</v>
      </c>
      <c r="C21" s="1739">
        <f>'数据-汇总表'!E3</f>
        <v>145126.41</v>
      </c>
      <c r="D21" s="1740" t="s">
        <v>1957</v>
      </c>
      <c r="E21" s="3281" t="s">
        <v>1995</v>
      </c>
      <c r="F21" s="3282"/>
      <c r="G21" s="3282"/>
      <c r="H21" s="3282"/>
      <c r="I21" s="3283"/>
      <c r="J21" s="1674"/>
      <c r="K21" s="1754"/>
      <c r="L21" s="1703"/>
      <c r="M21" s="1703"/>
      <c r="N21" s="1674"/>
      <c r="O21" s="1675"/>
      <c r="P21" s="1674"/>
      <c r="Q21" s="1674"/>
      <c r="R21" s="1674"/>
      <c r="S21" s="1674"/>
      <c r="T21" s="1674"/>
      <c r="U21" s="1674"/>
    </row>
    <row r="22" spans="1:21">
      <c r="A22" s="3090" t="s">
        <v>952</v>
      </c>
      <c r="B22" s="1641" t="s">
        <v>1958</v>
      </c>
      <c r="C22" s="1666">
        <f>'数据-汇总表'!D3</f>
        <v>68319.509999999995</v>
      </c>
      <c r="D22" s="1667" t="s">
        <v>1957</v>
      </c>
      <c r="E22" s="3281" t="s">
        <v>2888</v>
      </c>
      <c r="F22" s="3282"/>
      <c r="G22" s="3282"/>
      <c r="H22" s="3282"/>
      <c r="I22" s="3283"/>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84" t="s">
        <v>1963</v>
      </c>
      <c r="C24" s="3285"/>
      <c r="D24" s="3286" t="s">
        <v>1964</v>
      </c>
      <c r="E24" s="3287"/>
      <c r="F24" s="1688" t="s">
        <v>1965</v>
      </c>
      <c r="G24" s="1674"/>
      <c r="H24" s="1674"/>
      <c r="I24" s="1687"/>
      <c r="J24" s="1674"/>
      <c r="K24" s="3272"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7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7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58" t="s">
        <v>1998</v>
      </c>
      <c r="B31" s="1744" t="s">
        <v>1999</v>
      </c>
      <c r="C31" s="3297"/>
      <c r="D31" s="3298"/>
      <c r="E31" s="1674"/>
      <c r="F31" s="1674"/>
      <c r="G31" s="1674"/>
      <c r="H31" s="1674"/>
      <c r="I31" s="1687"/>
      <c r="J31" s="1674"/>
      <c r="K31" s="2418"/>
      <c r="L31" s="1674"/>
      <c r="M31" s="1674"/>
      <c r="N31" s="1674"/>
      <c r="O31" s="1674"/>
      <c r="P31" s="1674"/>
      <c r="Q31" s="1674"/>
      <c r="R31" s="1674"/>
      <c r="S31" s="1674"/>
      <c r="T31" s="1674"/>
      <c r="U31" s="1674"/>
    </row>
    <row r="32" spans="1:21">
      <c r="A32" s="3258"/>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58"/>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59"/>
      <c r="B34" s="1641" t="s">
        <v>2002</v>
      </c>
      <c r="C34" s="3260"/>
      <c r="D34" s="3261"/>
      <c r="E34" s="1674"/>
      <c r="F34" s="1674"/>
      <c r="G34" s="1674"/>
      <c r="H34" s="1674"/>
      <c r="I34" s="1687"/>
      <c r="J34" s="1674"/>
      <c r="K34" s="2418"/>
      <c r="L34" s="1674"/>
      <c r="M34" s="1674"/>
      <c r="N34" s="1674"/>
      <c r="O34" s="1674"/>
      <c r="P34" s="1674"/>
      <c r="Q34" s="1674"/>
      <c r="R34" s="1674"/>
      <c r="S34" s="1674"/>
      <c r="T34" s="1674"/>
      <c r="U34" s="1674"/>
    </row>
    <row r="35" spans="1:21">
      <c r="A35" s="3262" t="s">
        <v>847</v>
      </c>
      <c r="B35" s="1702"/>
      <c r="C35" s="1756" t="str">
        <f>IF(B35="场地平整","——","具体情况：")</f>
        <v>具体情况：</v>
      </c>
      <c r="D35" s="3264"/>
      <c r="E35" s="3265"/>
      <c r="F35" s="3265"/>
      <c r="G35" s="3265"/>
      <c r="H35" s="3265"/>
      <c r="I35" s="3266"/>
      <c r="J35" s="1674"/>
      <c r="K35" s="1755"/>
      <c r="L35" s="1703"/>
      <c r="M35" s="1703"/>
      <c r="N35" s="1674"/>
      <c r="O35" s="1675"/>
      <c r="P35" s="1674"/>
      <c r="Q35" s="1674"/>
      <c r="R35" s="1674"/>
      <c r="S35" s="1674"/>
      <c r="T35" s="1674"/>
      <c r="U35" s="1674"/>
    </row>
    <row r="36" spans="1:21">
      <c r="A36" s="3258"/>
      <c r="B36" s="3267" t="s">
        <v>2051</v>
      </c>
      <c r="C36" s="3268"/>
      <c r="D36" s="1772"/>
      <c r="E36" s="3269"/>
      <c r="F36" s="3269"/>
      <c r="G36" s="1667" t="str">
        <f>IF(B35="场地未平整","估价结果处理","")</f>
        <v/>
      </c>
      <c r="H36" s="3270"/>
      <c r="I36" s="3270"/>
      <c r="J36" s="1674"/>
      <c r="K36" s="1755"/>
      <c r="L36" s="1703"/>
      <c r="M36" s="1703"/>
      <c r="N36" s="1674"/>
      <c r="O36" s="1675"/>
      <c r="P36" s="1674"/>
      <c r="Q36" s="1674"/>
      <c r="R36" s="1674"/>
      <c r="S36" s="1674"/>
      <c r="T36" s="1674"/>
      <c r="U36" s="1674"/>
    </row>
    <row r="37" spans="1:21" ht="28.5">
      <c r="A37" s="3258"/>
      <c r="B37" s="3288"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58"/>
      <c r="B38" s="3289"/>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59"/>
      <c r="B39" s="329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71" t="s">
        <v>1982</v>
      </c>
      <c r="T40" s="1711" t="str">
        <f>NUMBERSTRING(7-K40,1)&amp;"通"</f>
        <v>七通</v>
      </c>
      <c r="U40" s="1674"/>
    </row>
    <row r="41" spans="1:21">
      <c r="A41" s="1643"/>
      <c r="B41" s="3263" t="s">
        <v>1720</v>
      </c>
      <c r="C41" s="3263"/>
      <c r="D41" s="3263"/>
      <c r="E41" s="3263"/>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71"/>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M18" sqref="A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Sheet2!C56</f>
        <v>68319.509999999995</v>
      </c>
      <c r="B3" s="22">
        <f>IF(C3="否",G5-AT5,G5)</f>
        <v>145126.41</v>
      </c>
      <c r="C3" s="23" t="s">
        <v>3038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145126.41</v>
      </c>
      <c r="H5" s="27">
        <f t="shared" ref="H5:AT5" si="0">SUM(H13:H641)</f>
        <v>132579.91</v>
      </c>
      <c r="I5" s="27">
        <f t="shared" si="0"/>
        <v>132579.91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12546.500000000007</v>
      </c>
      <c r="AD5" s="27">
        <f t="shared" si="0"/>
        <v>592.26</v>
      </c>
      <c r="AE5" s="27">
        <f t="shared" si="0"/>
        <v>0</v>
      </c>
      <c r="AF5" s="27">
        <f t="shared" si="0"/>
        <v>0</v>
      </c>
      <c r="AG5" s="27">
        <f t="shared" si="0"/>
        <v>0</v>
      </c>
      <c r="AH5" s="27">
        <f t="shared" si="0"/>
        <v>1061.52</v>
      </c>
      <c r="AI5" s="27">
        <f t="shared" si="0"/>
        <v>0</v>
      </c>
      <c r="AJ5" s="27">
        <f t="shared" si="0"/>
        <v>0</v>
      </c>
      <c r="AK5" s="27">
        <f t="shared" si="0"/>
        <v>0</v>
      </c>
      <c r="AL5" s="27">
        <f t="shared" si="0"/>
        <v>4836.070000000007</v>
      </c>
      <c r="AM5" s="27">
        <f t="shared" si="0"/>
        <v>0</v>
      </c>
      <c r="AN5" s="27">
        <f t="shared" si="0"/>
        <v>6056.65</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145126.41</v>
      </c>
      <c r="BA5" s="29">
        <f t="shared" si="1"/>
        <v>132579.91</v>
      </c>
      <c r="BB5" s="29">
        <f t="shared" si="1"/>
        <v>132579.91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12546.500000000007</v>
      </c>
      <c r="BM5" s="29">
        <f t="shared" si="1"/>
        <v>592.26</v>
      </c>
      <c r="BN5" s="29">
        <f t="shared" si="1"/>
        <v>0</v>
      </c>
      <c r="BO5" s="29">
        <f t="shared" si="1"/>
        <v>1061.52</v>
      </c>
      <c r="BP5" s="29">
        <f t="shared" si="1"/>
        <v>0</v>
      </c>
      <c r="BQ5" s="29">
        <f t="shared" si="1"/>
        <v>4836.070000000007</v>
      </c>
      <c r="BR5" s="29">
        <f t="shared" si="1"/>
        <v>6056.65</v>
      </c>
      <c r="BS5" s="29">
        <f t="shared" si="1"/>
        <v>0</v>
      </c>
      <c r="BT5" s="30">
        <f t="shared" si="1"/>
        <v>0</v>
      </c>
    </row>
    <row r="6" spans="1:72" s="37" customFormat="1" ht="12.75">
      <c r="A6" s="26" t="s">
        <v>169</v>
      </c>
      <c r="B6" s="31"/>
      <c r="C6" s="31"/>
      <c r="D6" s="32"/>
      <c r="E6" s="27">
        <f>H6+AC6+AT6</f>
        <v>68319.509999999995</v>
      </c>
      <c r="F6" s="27" t="s">
        <v>1</v>
      </c>
      <c r="G6" s="27" t="s">
        <v>2</v>
      </c>
      <c r="H6" s="33">
        <f>SUMIF(I$12:AB$12,"总值",I6:AB6)</f>
        <v>62413.14</v>
      </c>
      <c r="I6" s="27">
        <f t="shared" ref="I6:AB6" si="2">ROUND($A$3*I5/$B$3,2)</f>
        <v>62413.14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5906.369999999999</v>
      </c>
      <c r="AD6" s="27">
        <f t="shared" ref="AD6:AS6" si="3">ROUND($A$3*AD5/$B$3,2)</f>
        <v>278.81</v>
      </c>
      <c r="AE6" s="27">
        <f t="shared" si="3"/>
        <v>0</v>
      </c>
      <c r="AF6" s="27">
        <f t="shared" si="3"/>
        <v>0</v>
      </c>
      <c r="AG6" s="27">
        <f t="shared" si="3"/>
        <v>0</v>
      </c>
      <c r="AH6" s="27">
        <f t="shared" si="3"/>
        <v>499.72</v>
      </c>
      <c r="AI6" s="27">
        <f t="shared" si="3"/>
        <v>0</v>
      </c>
      <c r="AJ6" s="27">
        <f t="shared" si="3"/>
        <v>0</v>
      </c>
      <c r="AK6" s="27">
        <f t="shared" si="3"/>
        <v>0</v>
      </c>
      <c r="AL6" s="27">
        <f t="shared" si="3"/>
        <v>2276.62</v>
      </c>
      <c r="AM6" s="27">
        <f t="shared" si="3"/>
        <v>0</v>
      </c>
      <c r="AN6" s="27">
        <f t="shared" si="3"/>
        <v>2851.22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68319.509999999995</v>
      </c>
      <c r="AZ6" s="27" t="s">
        <v>3</v>
      </c>
      <c r="BA6" s="27">
        <f>ROUND($AY$6*BA5/$AZ$5,2)</f>
        <v>62413.14</v>
      </c>
      <c r="BB6" s="27">
        <f>ROUND($AY$6*BB5/$AZ$5,2)</f>
        <v>62413.14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5906.37</v>
      </c>
      <c r="BM6" s="27">
        <f t="shared" si="5"/>
        <v>278.81</v>
      </c>
      <c r="BN6" s="27">
        <f t="shared" si="5"/>
        <v>0</v>
      </c>
      <c r="BO6" s="27">
        <f t="shared" si="5"/>
        <v>499.72</v>
      </c>
      <c r="BP6" s="27">
        <f t="shared" si="5"/>
        <v>0</v>
      </c>
      <c r="BQ6" s="27">
        <f t="shared" si="5"/>
        <v>2276.62</v>
      </c>
      <c r="BR6" s="27">
        <f t="shared" si="5"/>
        <v>2851.22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3031</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68319.509999999995</v>
      </c>
      <c r="F13" s="81"/>
      <c r="G13" s="82">
        <f t="shared" ref="G13:G20" si="7">H13+AC13+AT13</f>
        <v>145126.41</v>
      </c>
      <c r="H13" s="33">
        <f t="shared" ref="H13:H20" si="8">SUMIF(I$12:AB$12,"总值",I13:AB13)</f>
        <v>132579.91</v>
      </c>
      <c r="I13" s="2965">
        <v>132579.91</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12546.500000000007</v>
      </c>
      <c r="AD13" s="2969">
        <f>Sheet2!C59+Sheet2!C60</f>
        <v>592.26</v>
      </c>
      <c r="AE13" s="2969"/>
      <c r="AF13" s="2969"/>
      <c r="AG13" s="2969"/>
      <c r="AH13" s="2969">
        <f>Sheet2!C58</f>
        <v>1061.52</v>
      </c>
      <c r="AI13" s="2969"/>
      <c r="AJ13" s="2969"/>
      <c r="AK13" s="2969"/>
      <c r="AL13" s="2969">
        <f>Sheet2!C57-'数据-基础表'!I13</f>
        <v>4836.070000000007</v>
      </c>
      <c r="AM13" s="2969"/>
      <c r="AN13" s="2969">
        <f>Sheet2!C61</f>
        <v>6056.65</v>
      </c>
      <c r="AO13" s="2969"/>
      <c r="AP13" s="2969"/>
      <c r="AQ13" s="2969"/>
      <c r="AR13" s="2969"/>
      <c r="AS13" s="2969"/>
      <c r="AT13" s="2970"/>
      <c r="AU13" s="2971"/>
      <c r="AV13" s="17">
        <f t="shared" ref="AV13:AX20" si="10">A13</f>
        <v>0</v>
      </c>
      <c r="AW13" s="17">
        <f t="shared" si="10"/>
        <v>0</v>
      </c>
      <c r="AX13" s="17">
        <f t="shared" si="10"/>
        <v>0</v>
      </c>
      <c r="AY13" s="993">
        <f t="shared" ref="AY13:AY20" si="11">ROUND($AY$6*AZ13/$AZ$5,2)</f>
        <v>68319.509999999995</v>
      </c>
      <c r="AZ13" s="27">
        <f t="shared" ref="AZ13:AZ20" si="12">BA13+BL13</f>
        <v>145126.41</v>
      </c>
      <c r="BA13" s="27">
        <f t="shared" ref="BA13:BA20" si="13">SUM(BB13:BK13)</f>
        <v>132579.91</v>
      </c>
      <c r="BB13" s="27">
        <f t="shared" ref="BB13:BB20" si="14">IF($D13="是",I13-J13,0)</f>
        <v>132579.91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12546.500000000007</v>
      </c>
      <c r="BM13" s="27">
        <f t="shared" ref="BM13:BM20" si="25">IF($D13="是",AD13-AE13,0)</f>
        <v>592.26</v>
      </c>
      <c r="BN13" s="27">
        <f t="shared" ref="BN13:BN20" si="26">IF($D13="是",AF13-AG13,0)</f>
        <v>0</v>
      </c>
      <c r="BO13" s="27">
        <f t="shared" ref="BO13:BO20" si="27">IF($D13="是",AH13-AI13,0)</f>
        <v>1061.52</v>
      </c>
      <c r="BP13" s="27">
        <f t="shared" ref="BP13:BP20" si="28">IF($D13="是",AJ13-AK13,0)</f>
        <v>0</v>
      </c>
      <c r="BQ13" s="27">
        <f t="shared" ref="BQ13:BQ20" si="29">IF($D13="是",AL13-AM13,0)</f>
        <v>4836.070000000007</v>
      </c>
      <c r="BR13" s="27">
        <f t="shared" ref="BR13:BR20" si="30">IF($D13="是",AN13-AO13,0)</f>
        <v>6056.65</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43" workbookViewId="0">
      <selection activeCell="F62" sqref="F62"/>
    </sheetView>
  </sheetViews>
  <sheetFormatPr defaultRowHeight="13.5"/>
  <cols>
    <col min="2" max="2" width="10.125" customWidth="1"/>
    <col min="3" max="3" width="11" customWidth="1"/>
    <col min="4" max="4" width="13" bestFit="1" customWidth="1"/>
    <col min="5" max="5" width="11.5" customWidth="1"/>
    <col min="6" max="6" width="12.25" customWidth="1"/>
    <col min="7" max="7" width="10.5" bestFit="1" customWidth="1"/>
    <col min="8" max="8" width="10.875" customWidth="1"/>
    <col min="9" max="9" width="12.75" bestFit="1" customWidth="1"/>
    <col min="11" max="11" width="12.625" customWidth="1"/>
  </cols>
  <sheetData>
    <row r="1" spans="1:11">
      <c r="A1" s="3176" t="s">
        <v>3003</v>
      </c>
      <c r="G1" s="3176" t="s">
        <v>3034</v>
      </c>
    </row>
    <row r="2" spans="1:11">
      <c r="A2" s="3301" t="s">
        <v>3004</v>
      </c>
      <c r="B2" s="3301"/>
      <c r="C2" s="3301"/>
      <c r="D2" s="3301"/>
      <c r="E2" s="3177">
        <v>235124.4</v>
      </c>
      <c r="G2">
        <f>Sheet1!C5</f>
        <v>178553.47999999998</v>
      </c>
    </row>
    <row r="3" spans="1:11">
      <c r="A3" s="3301" t="s">
        <v>3005</v>
      </c>
      <c r="B3" s="3301"/>
      <c r="C3" s="3301"/>
      <c r="D3" s="3301"/>
      <c r="E3" s="3177">
        <v>618790.86</v>
      </c>
      <c r="G3">
        <f>G4+G23</f>
        <v>491604.21999999991</v>
      </c>
    </row>
    <row r="4" spans="1:11">
      <c r="A4" s="3301" t="s">
        <v>3028</v>
      </c>
      <c r="B4" s="3301" t="s">
        <v>3006</v>
      </c>
      <c r="C4" s="3301"/>
      <c r="D4" s="3301"/>
      <c r="E4" s="3177">
        <v>494672.06</v>
      </c>
      <c r="G4">
        <f>G5+G6+G7+G8</f>
        <v>373935.29999999993</v>
      </c>
    </row>
    <row r="5" spans="1:11">
      <c r="A5" s="3302"/>
      <c r="B5" s="3301" t="s">
        <v>3028</v>
      </c>
      <c r="C5" s="3301" t="s">
        <v>3007</v>
      </c>
      <c r="D5" s="3301"/>
      <c r="E5" s="3177">
        <v>466351.23</v>
      </c>
      <c r="G5">
        <f>E5-B32</f>
        <v>345614.47</v>
      </c>
      <c r="K5">
        <v>218531.82</v>
      </c>
    </row>
    <row r="6" spans="1:11">
      <c r="A6" s="3302"/>
      <c r="B6" s="3302"/>
      <c r="C6" s="3301" t="s">
        <v>3008</v>
      </c>
      <c r="D6" s="3301"/>
      <c r="E6" s="3177">
        <v>3326.41</v>
      </c>
      <c r="G6">
        <f>E6</f>
        <v>3326.41</v>
      </c>
      <c r="K6">
        <v>119956.76</v>
      </c>
    </row>
    <row r="7" spans="1:11">
      <c r="A7" s="3302"/>
      <c r="B7" s="3302"/>
      <c r="C7" s="3301" t="s">
        <v>3009</v>
      </c>
      <c r="D7" s="3301"/>
      <c r="E7" s="3177">
        <v>12454.61</v>
      </c>
      <c r="G7">
        <f>E7</f>
        <v>12454.61</v>
      </c>
    </row>
    <row r="8" spans="1:11">
      <c r="A8" s="3302"/>
      <c r="B8" s="3302"/>
      <c r="C8" s="3301" t="s">
        <v>3010</v>
      </c>
      <c r="D8" s="3301"/>
      <c r="E8" s="3177">
        <v>12539.81</v>
      </c>
      <c r="G8">
        <f>E8</f>
        <v>12539.81</v>
      </c>
    </row>
    <row r="9" spans="1:11">
      <c r="A9" s="3302"/>
      <c r="B9" s="3302"/>
      <c r="C9" s="3301" t="s">
        <v>3028</v>
      </c>
      <c r="D9" s="3178" t="s">
        <v>3011</v>
      </c>
      <c r="E9" s="3177">
        <v>1168.6600000000001</v>
      </c>
      <c r="G9">
        <f t="shared" ref="G9:G22" si="0">E9</f>
        <v>1168.6600000000001</v>
      </c>
    </row>
    <row r="10" spans="1:11">
      <c r="A10" s="3302"/>
      <c r="B10" s="3302"/>
      <c r="C10" s="3302"/>
      <c r="D10" s="3178" t="s">
        <v>3012</v>
      </c>
      <c r="E10" s="3177">
        <v>2506.08</v>
      </c>
      <c r="G10">
        <f t="shared" si="0"/>
        <v>2506.08</v>
      </c>
    </row>
    <row r="11" spans="1:11">
      <c r="A11" s="3302"/>
      <c r="B11" s="3302"/>
      <c r="C11" s="3302"/>
      <c r="D11" s="3178" t="s">
        <v>3013</v>
      </c>
      <c r="E11" s="3177">
        <v>506.29</v>
      </c>
      <c r="G11">
        <f t="shared" si="0"/>
        <v>506.29</v>
      </c>
    </row>
    <row r="12" spans="1:11">
      <c r="A12" s="3302"/>
      <c r="B12" s="3302"/>
      <c r="C12" s="3302"/>
      <c r="D12" s="3178" t="s">
        <v>3014</v>
      </c>
      <c r="E12" s="3177">
        <v>85.96</v>
      </c>
      <c r="G12">
        <f t="shared" si="0"/>
        <v>85.96</v>
      </c>
    </row>
    <row r="13" spans="1:11">
      <c r="A13" s="3302"/>
      <c r="B13" s="3302"/>
      <c r="C13" s="3302"/>
      <c r="D13" s="3178" t="s">
        <v>3015</v>
      </c>
      <c r="E13" s="3177">
        <v>1440</v>
      </c>
      <c r="G13">
        <f t="shared" si="0"/>
        <v>1440</v>
      </c>
    </row>
    <row r="14" spans="1:11">
      <c r="A14" s="3302"/>
      <c r="B14" s="3302"/>
      <c r="C14" s="3302"/>
      <c r="D14" s="3178" t="s">
        <v>3016</v>
      </c>
      <c r="E14" s="3177">
        <v>540</v>
      </c>
      <c r="G14">
        <f t="shared" si="0"/>
        <v>540</v>
      </c>
    </row>
    <row r="15" spans="1:11">
      <c r="A15" s="3302"/>
      <c r="B15" s="3302"/>
      <c r="C15" s="3302"/>
      <c r="D15" s="3178" t="s">
        <v>3017</v>
      </c>
      <c r="E15" s="3177">
        <v>320.74</v>
      </c>
      <c r="G15">
        <f t="shared" si="0"/>
        <v>320.74</v>
      </c>
    </row>
    <row r="16" spans="1:11">
      <c r="A16" s="3302"/>
      <c r="B16" s="3302"/>
      <c r="C16" s="3302"/>
      <c r="D16" s="3178" t="s">
        <v>3018</v>
      </c>
      <c r="E16" s="3177">
        <v>360</v>
      </c>
      <c r="G16">
        <f t="shared" si="0"/>
        <v>360</v>
      </c>
    </row>
    <row r="17" spans="1:9">
      <c r="A17" s="3302"/>
      <c r="B17" s="3302"/>
      <c r="C17" s="3302"/>
      <c r="D17" s="3178" t="s">
        <v>3019</v>
      </c>
      <c r="E17" s="3177">
        <v>131.91999999999999</v>
      </c>
      <c r="G17">
        <f t="shared" si="0"/>
        <v>131.91999999999999</v>
      </c>
    </row>
    <row r="18" spans="1:9">
      <c r="A18" s="3302"/>
      <c r="B18" s="3302"/>
      <c r="C18" s="3302"/>
      <c r="D18" s="3178" t="s">
        <v>3020</v>
      </c>
      <c r="E18" s="3177">
        <v>106.47</v>
      </c>
      <c r="G18">
        <f t="shared" si="0"/>
        <v>106.47</v>
      </c>
    </row>
    <row r="19" spans="1:9">
      <c r="A19" s="3302"/>
      <c r="B19" s="3302"/>
      <c r="C19" s="3302"/>
      <c r="D19" s="3178" t="s">
        <v>3021</v>
      </c>
      <c r="E19" s="3177">
        <v>69.209999999999994</v>
      </c>
      <c r="G19">
        <f t="shared" si="0"/>
        <v>69.209999999999994</v>
      </c>
    </row>
    <row r="20" spans="1:9">
      <c r="A20" s="3302"/>
      <c r="B20" s="3302"/>
      <c r="C20" s="3302"/>
      <c r="D20" s="3178" t="s">
        <v>3022</v>
      </c>
      <c r="E20" s="3177">
        <v>781.14</v>
      </c>
      <c r="G20">
        <f t="shared" si="0"/>
        <v>781.14</v>
      </c>
    </row>
    <row r="21" spans="1:9">
      <c r="A21" s="3302"/>
      <c r="B21" s="3302"/>
      <c r="C21" s="3302"/>
      <c r="D21" s="3178" t="s">
        <v>3023</v>
      </c>
      <c r="E21" s="3177">
        <v>4425.0600000000004</v>
      </c>
      <c r="G21">
        <f t="shared" si="0"/>
        <v>4425.0600000000004</v>
      </c>
    </row>
    <row r="22" spans="1:9">
      <c r="A22" s="3302"/>
      <c r="B22" s="3302"/>
      <c r="C22" s="3302"/>
      <c r="D22" s="3178" t="s">
        <v>3024</v>
      </c>
      <c r="E22" s="3177">
        <v>98.28</v>
      </c>
      <c r="G22">
        <f t="shared" si="0"/>
        <v>98.28</v>
      </c>
    </row>
    <row r="23" spans="1:9">
      <c r="A23" s="3302"/>
      <c r="B23" s="3301" t="s">
        <v>3025</v>
      </c>
      <c r="C23" s="3301"/>
      <c r="D23" s="3301"/>
      <c r="E23" s="3177">
        <v>124118.78</v>
      </c>
      <c r="G23">
        <f>G24+G25</f>
        <v>117668.92</v>
      </c>
    </row>
    <row r="24" spans="1:9">
      <c r="A24" s="3302"/>
      <c r="B24" s="3301" t="s">
        <v>3028</v>
      </c>
      <c r="C24" s="3301" t="s">
        <v>3026</v>
      </c>
      <c r="D24" s="3301"/>
      <c r="E24" s="3177">
        <v>16460.14</v>
      </c>
      <c r="G24">
        <f>E24</f>
        <v>16460.14</v>
      </c>
    </row>
    <row r="25" spans="1:9">
      <c r="A25" s="3302"/>
      <c r="B25" s="3302"/>
      <c r="C25" s="3301" t="s">
        <v>3027</v>
      </c>
      <c r="D25" s="3301"/>
      <c r="E25" s="3177">
        <v>107658.64</v>
      </c>
      <c r="G25">
        <f>E25-C32</f>
        <v>101208.78</v>
      </c>
      <c r="I25">
        <f>G25/E25*3784</f>
        <v>3557.2994747100652</v>
      </c>
    </row>
    <row r="28" spans="1:9">
      <c r="A28" s="3176" t="s">
        <v>3030</v>
      </c>
      <c r="B28" s="3176" t="s">
        <v>3032</v>
      </c>
      <c r="C28" s="3176" t="s">
        <v>3033</v>
      </c>
    </row>
    <row r="29" spans="1:9">
      <c r="A29">
        <v>1</v>
      </c>
      <c r="B29">
        <v>59303.1</v>
      </c>
      <c r="C29">
        <v>3012.84</v>
      </c>
    </row>
    <row r="30" spans="1:9">
      <c r="A30">
        <v>2</v>
      </c>
      <c r="B30">
        <v>14495.9</v>
      </c>
      <c r="C30">
        <v>1079.1199999999999</v>
      </c>
    </row>
    <row r="31" spans="1:9">
      <c r="A31">
        <v>3</v>
      </c>
      <c r="B31">
        <v>46937.760000000002</v>
      </c>
      <c r="C31">
        <v>2357.9</v>
      </c>
    </row>
    <row r="32" spans="1:9">
      <c r="B32">
        <f>SUM(B29:B31)</f>
        <v>120736.76000000001</v>
      </c>
      <c r="C32">
        <f>SUM(C29:C31)</f>
        <v>6449.8600000000006</v>
      </c>
    </row>
    <row r="38" spans="2:9">
      <c r="B38">
        <v>68613.600000000006</v>
      </c>
      <c r="D38">
        <v>166510.78</v>
      </c>
    </row>
    <row r="39" spans="2:9">
      <c r="B39">
        <v>57644</v>
      </c>
      <c r="D39">
        <v>68613.600000000006</v>
      </c>
    </row>
    <row r="40" spans="2:9">
      <c r="B40">
        <v>56757.2</v>
      </c>
    </row>
    <row r="41" spans="2:9">
      <c r="B41">
        <v>52109.599999999999</v>
      </c>
    </row>
    <row r="42" spans="2:9">
      <c r="B42">
        <f>SUM(B38:B41)</f>
        <v>235124.4</v>
      </c>
    </row>
    <row r="48" spans="2:9">
      <c r="C48" s="3203" t="s">
        <v>3152</v>
      </c>
      <c r="D48" s="3203" t="s">
        <v>3153</v>
      </c>
      <c r="E48" s="3203" t="s">
        <v>3154</v>
      </c>
      <c r="F48" s="3203" t="s">
        <v>923</v>
      </c>
      <c r="G48" s="3203" t="s">
        <v>3002</v>
      </c>
      <c r="H48" s="3203" t="s">
        <v>3155</v>
      </c>
      <c r="I48" s="3203" t="s">
        <v>3156</v>
      </c>
    </row>
    <row r="49" spans="2:9" ht="33.75">
      <c r="B49" s="3200" t="s">
        <v>3150</v>
      </c>
      <c r="C49" s="3201" t="s">
        <v>3151</v>
      </c>
      <c r="D49" s="3202">
        <f>SUM(F49:I49)</f>
        <v>145126.41</v>
      </c>
      <c r="E49" s="3202">
        <v>132579.91</v>
      </c>
      <c r="F49" s="3202">
        <v>137415.98000000001</v>
      </c>
      <c r="G49" s="3202"/>
      <c r="H49" s="3202">
        <f>1061.52+506.3+85.96</f>
        <v>1653.78</v>
      </c>
      <c r="I49" s="3202">
        <v>6056.65</v>
      </c>
    </row>
    <row r="50" spans="2:9" ht="78.75">
      <c r="B50" s="3204" t="s">
        <v>3157</v>
      </c>
      <c r="C50" s="3205" t="s">
        <v>3158</v>
      </c>
      <c r="D50" s="3206">
        <f>SUM(F50:I50)</f>
        <v>280846.05</v>
      </c>
      <c r="E50" s="3206">
        <v>209277.97</v>
      </c>
      <c r="F50" s="3206">
        <v>218531.82</v>
      </c>
      <c r="G50" s="3206"/>
      <c r="H50" s="3206"/>
      <c r="I50" s="3206">
        <v>62314.23</v>
      </c>
    </row>
    <row r="51" spans="2:9">
      <c r="D51" s="3202">
        <f>SUM(D49:D50)</f>
        <v>425972.45999999996</v>
      </c>
      <c r="E51" s="3202">
        <f t="shared" ref="E51:I51" si="1">SUM(E49:E50)</f>
        <v>341857.88</v>
      </c>
      <c r="F51" s="3202">
        <f t="shared" si="1"/>
        <v>355947.80000000005</v>
      </c>
      <c r="G51" s="3202">
        <f t="shared" si="1"/>
        <v>0</v>
      </c>
      <c r="H51" s="3202">
        <f t="shared" si="1"/>
        <v>1653.78</v>
      </c>
      <c r="I51" s="3202">
        <f t="shared" si="1"/>
        <v>68370.880000000005</v>
      </c>
    </row>
    <row r="56" spans="2:9">
      <c r="B56" s="3176" t="s">
        <v>3165</v>
      </c>
      <c r="C56">
        <v>68319.509999999995</v>
      </c>
    </row>
    <row r="57" spans="2:9">
      <c r="B57" s="3176" t="s">
        <v>3159</v>
      </c>
      <c r="C57">
        <v>137415.98000000001</v>
      </c>
    </row>
    <row r="58" spans="2:9">
      <c r="B58" s="3176" t="s">
        <v>3160</v>
      </c>
      <c r="C58">
        <v>1061.52</v>
      </c>
    </row>
    <row r="59" spans="2:9">
      <c r="B59" s="3176" t="s">
        <v>3161</v>
      </c>
      <c r="C59">
        <v>506.3</v>
      </c>
    </row>
    <row r="60" spans="2:9">
      <c r="B60" s="3176" t="s">
        <v>3162</v>
      </c>
      <c r="C60">
        <v>85.96</v>
      </c>
    </row>
    <row r="61" spans="2:9">
      <c r="B61" s="3176" t="s">
        <v>3163</v>
      </c>
      <c r="C61">
        <f>6056.65</f>
        <v>6056.65</v>
      </c>
    </row>
    <row r="62" spans="2:9">
      <c r="B62" s="3176" t="s">
        <v>3164</v>
      </c>
    </row>
    <row r="63" spans="2:9">
      <c r="C63">
        <f>SUM(C57:C62)</f>
        <v>145126.40999999997</v>
      </c>
    </row>
    <row r="73" spans="3:11" ht="14.25" thickBot="1"/>
    <row r="74" spans="3:11" ht="36" thickBot="1">
      <c r="C74" s="3218" t="s">
        <v>3183</v>
      </c>
      <c r="D74" s="3219" t="s">
        <v>3184</v>
      </c>
      <c r="E74" s="3220" t="s">
        <v>3185</v>
      </c>
      <c r="F74" s="3221">
        <v>68319.509999999995</v>
      </c>
      <c r="G74" s="3222">
        <v>145126.41</v>
      </c>
      <c r="H74" s="3222">
        <v>137415.98000000001</v>
      </c>
      <c r="I74" s="3222" t="s">
        <v>952</v>
      </c>
      <c r="J74" s="3222">
        <v>6056.65</v>
      </c>
      <c r="K74" s="3222">
        <v>1653.78</v>
      </c>
    </row>
    <row r="75" spans="3:11" ht="36" thickBot="1">
      <c r="C75" s="3223" t="s">
        <v>3186</v>
      </c>
      <c r="D75" s="3224" t="s">
        <v>3184</v>
      </c>
      <c r="E75" s="3225" t="s">
        <v>3187</v>
      </c>
      <c r="F75" s="3226">
        <v>48759.09</v>
      </c>
      <c r="G75" s="3303">
        <v>280846.05</v>
      </c>
      <c r="H75" s="3303">
        <v>218531.82</v>
      </c>
      <c r="I75" s="3303">
        <v>50512.61</v>
      </c>
      <c r="J75" s="3303">
        <v>11801.62</v>
      </c>
      <c r="K75" s="3303" t="s">
        <v>952</v>
      </c>
    </row>
    <row r="76" spans="3:11" ht="36" thickBot="1">
      <c r="C76" s="3223" t="s">
        <v>3188</v>
      </c>
      <c r="D76" s="3224" t="s">
        <v>3184</v>
      </c>
      <c r="E76" s="3225" t="s">
        <v>3189</v>
      </c>
      <c r="F76" s="3226">
        <v>61474.879999999997</v>
      </c>
      <c r="G76" s="3304"/>
      <c r="H76" s="3304"/>
      <c r="I76" s="3304"/>
      <c r="J76" s="3304"/>
      <c r="K76" s="3304"/>
    </row>
    <row r="77" spans="3:11" ht="14.25" thickBot="1">
      <c r="C77" s="3223" t="s">
        <v>24</v>
      </c>
      <c r="D77" s="3227" t="s">
        <v>952</v>
      </c>
      <c r="E77" s="3227" t="s">
        <v>952</v>
      </c>
      <c r="F77" s="3227">
        <f>SUM(F74:F76)</f>
        <v>178553.47999999998</v>
      </c>
      <c r="G77" s="3227">
        <f t="shared" ref="G77:K77" si="2">SUM(G74:G76)</f>
        <v>425972.45999999996</v>
      </c>
      <c r="H77" s="3227">
        <f t="shared" si="2"/>
        <v>355947.80000000005</v>
      </c>
      <c r="I77" s="3227">
        <f t="shared" si="2"/>
        <v>50512.61</v>
      </c>
      <c r="J77" s="3227">
        <f t="shared" si="2"/>
        <v>17858.27</v>
      </c>
      <c r="K77" s="3227">
        <f t="shared" si="2"/>
        <v>1653.78</v>
      </c>
    </row>
    <row r="81" spans="4:8">
      <c r="F81">
        <f>178553.48*2</f>
        <v>357106.96</v>
      </c>
    </row>
    <row r="84" spans="4:8">
      <c r="D84" s="3305" t="s">
        <v>3190</v>
      </c>
      <c r="E84" s="3306"/>
      <c r="F84" s="3306"/>
      <c r="G84" s="3306"/>
      <c r="H84" s="3307"/>
    </row>
    <row r="85" spans="4:8">
      <c r="D85" s="3178" t="s">
        <v>3191</v>
      </c>
      <c r="E85" s="3178" t="s">
        <v>3195</v>
      </c>
      <c r="F85" s="3178" t="s">
        <v>3192</v>
      </c>
      <c r="G85" s="3178" t="s">
        <v>3193</v>
      </c>
      <c r="H85" s="3178" t="s">
        <v>3194</v>
      </c>
    </row>
    <row r="86" spans="4:8">
      <c r="D86" s="3177">
        <v>1</v>
      </c>
      <c r="E86" s="3177">
        <v>550452.31999999995</v>
      </c>
      <c r="F86" s="3177">
        <v>4892</v>
      </c>
      <c r="G86" s="3177">
        <v>9715.11</v>
      </c>
      <c r="H86" s="3177">
        <v>534770.62</v>
      </c>
    </row>
    <row r="87" spans="4:8">
      <c r="D87" s="3177">
        <v>2</v>
      </c>
      <c r="E87" s="3177">
        <v>408917.85</v>
      </c>
      <c r="F87" s="3177">
        <v>3599</v>
      </c>
      <c r="G87" s="3177">
        <v>9989.82</v>
      </c>
      <c r="H87" s="3177">
        <v>408501.66</v>
      </c>
    </row>
    <row r="88" spans="4:8">
      <c r="D88" s="3177">
        <v>3</v>
      </c>
      <c r="E88" s="3177">
        <v>550688.14</v>
      </c>
      <c r="F88" s="3177">
        <v>4723</v>
      </c>
      <c r="G88" s="3177">
        <v>10100.01</v>
      </c>
      <c r="H88" s="3177">
        <v>556195.59</v>
      </c>
    </row>
    <row r="89" spans="4:8">
      <c r="D89" s="3177">
        <v>4</v>
      </c>
      <c r="E89" s="3177">
        <v>557790.37</v>
      </c>
      <c r="F89" s="3177">
        <v>4813</v>
      </c>
      <c r="G89" s="3177">
        <v>10599.9</v>
      </c>
      <c r="H89" s="3177">
        <v>591252.38</v>
      </c>
    </row>
    <row r="90" spans="4:8">
      <c r="D90" s="3177">
        <v>5</v>
      </c>
      <c r="E90" s="3177">
        <v>538990.26</v>
      </c>
      <c r="F90" s="3177">
        <v>4676</v>
      </c>
      <c r="G90" s="3177">
        <v>10328.67</v>
      </c>
      <c r="H90" s="3177">
        <v>556705</v>
      </c>
    </row>
    <row r="91" spans="4:8">
      <c r="D91" s="3177">
        <v>6</v>
      </c>
      <c r="E91" s="3177">
        <v>808151.54</v>
      </c>
      <c r="F91" s="3177">
        <v>6310</v>
      </c>
      <c r="G91" s="3177">
        <v>11543.16</v>
      </c>
      <c r="H91" s="3177">
        <v>932861.89</v>
      </c>
    </row>
    <row r="92" spans="4:8">
      <c r="D92" s="3177">
        <v>7</v>
      </c>
      <c r="E92" s="3177">
        <v>410094.52</v>
      </c>
      <c r="F92" s="3177">
        <v>3436</v>
      </c>
      <c r="G92" s="3177">
        <v>9689.82</v>
      </c>
      <c r="H92" s="3177">
        <v>397374.15</v>
      </c>
    </row>
    <row r="93" spans="4:8">
      <c r="D93" s="3177">
        <v>8</v>
      </c>
      <c r="E93" s="3177">
        <v>564168.92000000004</v>
      </c>
      <c r="F93" s="3177">
        <v>4722</v>
      </c>
      <c r="G93" s="3177">
        <v>11095.81</v>
      </c>
      <c r="H93" s="3177">
        <v>625991.03</v>
      </c>
    </row>
    <row r="94" spans="4:8">
      <c r="D94" s="3177">
        <v>9</v>
      </c>
      <c r="E94" s="3177">
        <v>653829.24</v>
      </c>
      <c r="F94" s="3177">
        <v>5681</v>
      </c>
      <c r="G94" s="3177">
        <v>10991.08</v>
      </c>
      <c r="H94" s="3177">
        <v>718629.17</v>
      </c>
    </row>
    <row r="95" spans="4:8">
      <c r="D95" s="3177">
        <v>10</v>
      </c>
      <c r="E95" s="3177">
        <v>740212.56</v>
      </c>
      <c r="F95" s="3177">
        <v>6343</v>
      </c>
      <c r="G95" s="3177">
        <v>10605.48</v>
      </c>
      <c r="H95" s="3177">
        <v>785031.29</v>
      </c>
    </row>
    <row r="96" spans="4:8">
      <c r="D96" s="3177">
        <v>11</v>
      </c>
      <c r="E96" s="3177">
        <v>659004.49</v>
      </c>
      <c r="F96" s="3177">
        <v>5516</v>
      </c>
      <c r="G96" s="3177">
        <v>11598.53</v>
      </c>
      <c r="H96" s="3177">
        <v>764348.08</v>
      </c>
    </row>
    <row r="97" spans="4:8">
      <c r="D97" s="3177">
        <v>12</v>
      </c>
      <c r="E97" s="3177">
        <v>784288.4</v>
      </c>
      <c r="F97" s="3177">
        <v>6635</v>
      </c>
      <c r="G97" s="3177">
        <v>12148.3</v>
      </c>
      <c r="H97" s="3177">
        <v>952777.04</v>
      </c>
    </row>
    <row r="98" spans="4:8">
      <c r="D98" s="3178" t="s">
        <v>3196</v>
      </c>
      <c r="E98" s="3177">
        <f>SUM(E86:E97)</f>
        <v>7226588.6100000013</v>
      </c>
      <c r="F98" s="3177">
        <f t="shared" ref="F98:H98" si="3">SUM(F86:F97)</f>
        <v>61346</v>
      </c>
      <c r="G98" s="3177">
        <v>10827.29</v>
      </c>
      <c r="H98" s="3177">
        <f t="shared" si="3"/>
        <v>7824437.9000000004</v>
      </c>
    </row>
  </sheetData>
  <mergeCells count="20">
    <mergeCell ref="D84:H84"/>
    <mergeCell ref="G75:G76"/>
    <mergeCell ref="H75:H76"/>
    <mergeCell ref="I75:I76"/>
    <mergeCell ref="J75:J76"/>
    <mergeCell ref="K75:K76"/>
    <mergeCell ref="B24:B25"/>
    <mergeCell ref="C24:D24"/>
    <mergeCell ref="C25:D25"/>
    <mergeCell ref="A3:D3"/>
    <mergeCell ref="A2:D2"/>
    <mergeCell ref="A4:A25"/>
    <mergeCell ref="C5:D5"/>
    <mergeCell ref="C6:D6"/>
    <mergeCell ref="C7:D7"/>
    <mergeCell ref="C9:C22"/>
    <mergeCell ref="C8:D8"/>
    <mergeCell ref="B4:D4"/>
    <mergeCell ref="B5:B22"/>
    <mergeCell ref="B23:D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1" sqref="J1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7" t="s">
        <v>203</v>
      </c>
      <c r="B2" s="3317"/>
      <c r="C2" s="3317"/>
      <c r="D2" s="1956" t="s">
        <v>204</v>
      </c>
      <c r="E2" s="106" t="s">
        <v>205</v>
      </c>
      <c r="F2" s="1965"/>
      <c r="G2" s="1191"/>
      <c r="H2" s="1192"/>
      <c r="I2" s="1193" t="s">
        <v>857</v>
      </c>
      <c r="J2" s="1965"/>
      <c r="K2" s="1965"/>
      <c r="L2" s="1965"/>
    </row>
    <row r="3" spans="1:16" ht="15.75" thickBot="1">
      <c r="A3" s="3318" t="s">
        <v>206</v>
      </c>
      <c r="B3" s="3318"/>
      <c r="C3" s="3318"/>
      <c r="D3" s="107">
        <f>'数据-基础表'!AY6</f>
        <v>68319.509999999995</v>
      </c>
      <c r="E3" s="107">
        <f>'数据-基础表'!AZ5</f>
        <v>145126.41</v>
      </c>
      <c r="F3" s="1965"/>
      <c r="G3" s="278" t="s">
        <v>858</v>
      </c>
      <c r="H3" s="273" t="s">
        <v>859</v>
      </c>
      <c r="I3" s="1957">
        <f>ROUND('数据-基础表'!B3/'数据-基础表'!A3,2)</f>
        <v>2.12</v>
      </c>
      <c r="J3" s="1965"/>
      <c r="K3" s="1965"/>
      <c r="L3" s="1965"/>
    </row>
    <row r="4" spans="1:16" ht="15">
      <c r="A4" s="3319"/>
      <c r="B4" s="3320"/>
      <c r="C4" s="3321"/>
      <c r="D4" s="108" t="s">
        <v>204</v>
      </c>
      <c r="E4" s="109" t="s">
        <v>205</v>
      </c>
      <c r="F4" s="1965"/>
      <c r="G4" s="1194"/>
      <c r="H4" s="273" t="s">
        <v>860</v>
      </c>
      <c r="I4" s="1957">
        <f>ROUND(SUMIF('数据-基础表'!I9:AS9,"地上",'数据-基础表'!I5:AS5)/'数据-基础表'!A3,2)</f>
        <v>2.04</v>
      </c>
      <c r="J4" s="1965"/>
      <c r="K4" s="1965"/>
      <c r="L4" s="1965"/>
    </row>
    <row r="5" spans="1:16">
      <c r="A5" s="110" t="s">
        <v>207</v>
      </c>
      <c r="B5" s="3322" t="s">
        <v>230</v>
      </c>
      <c r="C5" s="3322"/>
      <c r="D5" s="111">
        <f>ROUND($D$3*E5/$E$3,2)</f>
        <v>62413.14</v>
      </c>
      <c r="E5" s="112">
        <f>SUMIF('数据-基础表'!$11:$11,"住宅",'数据-基础表'!$5:$5)</f>
        <v>132579.91</v>
      </c>
      <c r="F5" s="1965"/>
      <c r="G5" s="278" t="s">
        <v>861</v>
      </c>
      <c r="H5" s="273" t="s">
        <v>859</v>
      </c>
      <c r="I5" s="1957">
        <f>ROUND(E31/D31,2)</f>
        <v>2.12</v>
      </c>
      <c r="J5" s="1965"/>
      <c r="K5" s="1965"/>
      <c r="L5" s="1965"/>
    </row>
    <row r="6" spans="1:16" ht="15" thickBot="1">
      <c r="A6" s="113"/>
      <c r="B6" s="3322" t="s">
        <v>208</v>
      </c>
      <c r="C6" s="3322"/>
      <c r="D6" s="111">
        <f>ROUND($D$3*E6/$E$3,2)</f>
        <v>5906.37</v>
      </c>
      <c r="E6" s="112">
        <f>E3-E5</f>
        <v>12546.5</v>
      </c>
      <c r="F6" s="1965"/>
      <c r="G6" s="1194"/>
      <c r="H6" s="273" t="s">
        <v>860</v>
      </c>
      <c r="I6" s="1957">
        <f>ROUND(F31/D31,2)</f>
        <v>2.04</v>
      </c>
      <c r="J6" s="1965"/>
      <c r="K6" s="1965"/>
      <c r="L6" s="1965"/>
    </row>
    <row r="7" spans="1:16" ht="15">
      <c r="A7" s="3314"/>
      <c r="B7" s="3315"/>
      <c r="C7" s="3316"/>
      <c r="D7" s="108" t="s">
        <v>204</v>
      </c>
      <c r="E7" s="114" t="s">
        <v>231</v>
      </c>
      <c r="F7" s="1965"/>
      <c r="G7" s="1149" t="s">
        <v>1645</v>
      </c>
      <c r="H7" s="1150"/>
      <c r="I7" s="1827">
        <f>ROUND((132579.91)/Sheet2!C56,2)</f>
        <v>1.94</v>
      </c>
      <c r="J7" s="1965"/>
      <c r="K7" s="1965"/>
      <c r="L7" s="1965"/>
    </row>
    <row r="8" spans="1:16">
      <c r="A8" s="110" t="s">
        <v>209</v>
      </c>
      <c r="B8" s="115" t="s">
        <v>210</v>
      </c>
      <c r="C8" s="111" t="s">
        <v>211</v>
      </c>
      <c r="D8" s="111">
        <f t="shared" ref="D8:D15" si="0">ROUND($D$3*E8/$E$3,2)</f>
        <v>62413.14</v>
      </c>
      <c r="E8" s="116">
        <f>SUMIF('数据-基础表'!BB10:BK10,"地上",'数据-基础表'!BB5:BK5)</f>
        <v>132579.91</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62413.14</v>
      </c>
      <c r="E16" s="120">
        <f>SUM(E8:E15)</f>
        <v>132579.91</v>
      </c>
      <c r="F16" s="1965"/>
      <c r="G16" s="1967"/>
      <c r="H16" s="965" t="s">
        <v>219</v>
      </c>
      <c r="I16" s="966"/>
      <c r="J16" s="1965"/>
      <c r="K16" s="3308" t="s">
        <v>2563</v>
      </c>
      <c r="L16" s="3309"/>
      <c r="M16" s="3309"/>
      <c r="N16" s="3309"/>
      <c r="O16" s="3309"/>
      <c r="P16" s="3310"/>
    </row>
    <row r="17" spans="1:19" ht="15">
      <c r="A17" s="121" t="s">
        <v>216</v>
      </c>
      <c r="B17" s="122" t="s">
        <v>217</v>
      </c>
      <c r="C17" s="2279" t="s">
        <v>2310</v>
      </c>
      <c r="D17" s="108" t="s">
        <v>204</v>
      </c>
      <c r="E17" s="124" t="s">
        <v>205</v>
      </c>
      <c r="F17" s="125"/>
      <c r="G17" s="1359"/>
      <c r="H17" s="967" t="s">
        <v>218</v>
      </c>
      <c r="I17" s="968" t="s">
        <v>2309</v>
      </c>
      <c r="J17" s="1965"/>
      <c r="K17" s="3311" t="s">
        <v>2564</v>
      </c>
      <c r="L17" s="3312"/>
      <c r="M17" s="3313"/>
      <c r="N17" s="3311" t="s">
        <v>2565</v>
      </c>
      <c r="O17" s="3312"/>
      <c r="P17" s="3313"/>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3039</v>
      </c>
      <c r="D19" s="111">
        <f t="shared" ref="D19:D26" si="1">ROUND($D$3*E19/$E$3,2)</f>
        <v>62413.14</v>
      </c>
      <c r="E19" s="134">
        <f t="shared" ref="E19:E26" si="2">SUM(F19:G19)</f>
        <v>132579.91</v>
      </c>
      <c r="F19" s="135">
        <f>'数据-基础表'!I13</f>
        <v>132579.91</v>
      </c>
      <c r="G19" s="1361"/>
      <c r="H19" s="971">
        <f>ROUND($D$3*I19/$E$3,2)</f>
        <v>5906.37</v>
      </c>
      <c r="I19" s="116">
        <f>IF($I$17="自定义",P19,M19)</f>
        <v>12546.5</v>
      </c>
      <c r="J19" s="1965"/>
      <c r="K19" s="2568">
        <f t="shared" ref="K19:K26" si="3">ROUND(E$28*E19/E$27,2)</f>
        <v>10892.72</v>
      </c>
      <c r="L19" s="273">
        <f t="shared" ref="L19:L26" si="4">ROUND(IF(COUNTIF(C19,"*住宅*")&gt;0,E$29*E19/E$32,0),2)</f>
        <v>1653.78</v>
      </c>
      <c r="M19" s="2569">
        <f>K19+L19</f>
        <v>12546.5</v>
      </c>
      <c r="N19" s="2570"/>
      <c r="O19" s="2571"/>
      <c r="P19" s="2572">
        <f>N19+O19</f>
        <v>0</v>
      </c>
      <c r="R19" s="273">
        <f t="shared" ref="R19:S26" si="5">D19+H19</f>
        <v>68319.509999999995</v>
      </c>
      <c r="S19" s="2282">
        <f t="shared" si="5"/>
        <v>145126.41</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62413.14</v>
      </c>
      <c r="E27" s="143">
        <f>IF(SUM(E19:E26)='数据-基础表'!BA5,SUM(E19:E26),IF(F27="地上面积有误","面积有误","地下面积有误"))</f>
        <v>132579.91</v>
      </c>
      <c r="F27" s="134">
        <f>IF(SUM(F19:F26)=E8,SUM(F19:F26),"地上面积有误")</f>
        <v>132579.91</v>
      </c>
      <c r="G27" s="112">
        <f>SUM(G19:G26)</f>
        <v>0</v>
      </c>
      <c r="H27" s="972">
        <f>SUM(H19:H26)</f>
        <v>5906.37</v>
      </c>
      <c r="I27" s="973">
        <f>SUM(I19:I26)</f>
        <v>12546.5</v>
      </c>
      <c r="J27" s="1965"/>
      <c r="K27" s="2577">
        <f t="shared" ref="K27:P27" si="10">SUM(K19:K26)</f>
        <v>10892.72</v>
      </c>
      <c r="L27" s="2578">
        <f t="shared" si="10"/>
        <v>1653.78</v>
      </c>
      <c r="M27" s="2579">
        <f t="shared" si="10"/>
        <v>12546.5</v>
      </c>
      <c r="N27" s="2577">
        <f t="shared" si="10"/>
        <v>0</v>
      </c>
      <c r="O27" s="2578">
        <f t="shared" si="10"/>
        <v>0</v>
      </c>
      <c r="P27" s="2580">
        <f t="shared" si="10"/>
        <v>0</v>
      </c>
      <c r="R27" s="2286">
        <f>IF(SUM(R19:R26)=$D$3,SUM(R19:R26),SUM(R19:R26)&amp;"误差"&amp;ROUND(SUM(R19:R26)-$D$3,2))</f>
        <v>68319.509999999995</v>
      </c>
      <c r="S27" s="273">
        <f>IF(SUM(S19:S26)=$E$3,SUM(S19:S26),SUM(S19:S26)&amp;"误差"&amp;ROUND(SUM(S19:S26)-E3,2))</f>
        <v>145126.41</v>
      </c>
    </row>
    <row r="28" spans="1:19">
      <c r="A28" s="138"/>
      <c r="B28" s="115" t="s">
        <v>227</v>
      </c>
      <c r="C28" s="136" t="s">
        <v>228</v>
      </c>
      <c r="D28" s="111">
        <f>ROUND($D$3*E28/$E$3,2)</f>
        <v>5127.84</v>
      </c>
      <c r="E28" s="134">
        <f>SUM(F28:G28)</f>
        <v>10892.720000000007</v>
      </c>
      <c r="F28" s="144">
        <f>'数据-基础表'!BQ5+'数据-基础表'!BS5</f>
        <v>4836.070000000007</v>
      </c>
      <c r="G28" s="145">
        <f>'数据-基础表'!BR5+'数据-基础表'!BT5</f>
        <v>6056.65</v>
      </c>
      <c r="H28" s="1965"/>
      <c r="I28" s="1965"/>
      <c r="J28" s="1965"/>
      <c r="K28" s="1965"/>
      <c r="L28" s="1965"/>
    </row>
    <row r="29" spans="1:19">
      <c r="A29" s="138"/>
      <c r="B29" s="115" t="s">
        <v>227</v>
      </c>
      <c r="C29" s="2294" t="s">
        <v>2317</v>
      </c>
      <c r="D29" s="111">
        <f>ROUND($D$3*E29/$E$3,2)</f>
        <v>778.53</v>
      </c>
      <c r="E29" s="134">
        <f>SUM(F29:G29)</f>
        <v>1653.78</v>
      </c>
      <c r="F29" s="144">
        <f>'数据-基础表'!BM5+'数据-基础表'!BO5</f>
        <v>1653.78</v>
      </c>
      <c r="G29" s="146">
        <f>'数据-基础表'!BN5+'数据-基础表'!BP5</f>
        <v>0</v>
      </c>
      <c r="H29" s="1965"/>
      <c r="I29" s="1965"/>
      <c r="J29" s="1965"/>
      <c r="K29" s="1965"/>
      <c r="L29" s="1965"/>
    </row>
    <row r="30" spans="1:19">
      <c r="A30" s="138"/>
      <c r="B30" s="111"/>
      <c r="C30" s="147" t="s">
        <v>215</v>
      </c>
      <c r="D30" s="134">
        <f>SUM(D28:D29)</f>
        <v>5906.37</v>
      </c>
      <c r="E30" s="134">
        <f>SUM(E28:E29)</f>
        <v>12546.500000000007</v>
      </c>
      <c r="F30" s="134">
        <f>SUM(F28:F29)</f>
        <v>6489.8500000000067</v>
      </c>
      <c r="G30" s="112">
        <f>SUM(G28:G29)</f>
        <v>6056.65</v>
      </c>
      <c r="H30" s="1965"/>
      <c r="I30" s="1965"/>
      <c r="J30" s="1965"/>
      <c r="K30" s="1965"/>
      <c r="L30" s="1965"/>
    </row>
    <row r="31" spans="1:19" ht="32.25" customHeight="1" thickBot="1">
      <c r="A31" s="1363"/>
      <c r="B31" s="1364" t="s">
        <v>229</v>
      </c>
      <c r="C31" s="2311" t="s">
        <v>2319</v>
      </c>
      <c r="D31" s="1365">
        <f>D27+D30</f>
        <v>68319.509999999995</v>
      </c>
      <c r="E31" s="1365">
        <f>E27+E30</f>
        <v>145126.41</v>
      </c>
      <c r="F31" s="1366">
        <f>F27+F30</f>
        <v>139069.76000000001</v>
      </c>
      <c r="G31" s="1367">
        <f>G27+G30</f>
        <v>6056.65</v>
      </c>
      <c r="H31" s="1965"/>
      <c r="I31" s="1965"/>
      <c r="J31" s="1965"/>
      <c r="K31" s="1965"/>
      <c r="L31" s="1965"/>
    </row>
    <row r="32" spans="1:19">
      <c r="A32" s="1965"/>
      <c r="B32" s="2323" t="s">
        <v>2318</v>
      </c>
      <c r="C32" s="2607"/>
      <c r="D32" s="1194"/>
      <c r="E32" s="1194">
        <f>SUMIF(C19:C26,"*住宅*",E19:E26)</f>
        <v>132579.91</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43935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68739</v>
      </c>
      <c r="F6" s="174">
        <f>SUMIF(项目基本情况!D$15:I$15,C6,项目基本情况!D$19:I$19)</f>
        <v>67.95</v>
      </c>
      <c r="G6" s="175">
        <f t="shared" ref="G6:G13" si="0">IF(ISERROR(ROUND(POWER(1+H6,D6-F6)*(POWER(1+H6,F6)-1)/(POWER(1+H6,D6)-1),3)),0,ROUND(POWER(1+H6,D6-F6)*(POWER(1+H6,F6)-1)/(POWER(1+H6,D6)-1),3))</f>
        <v>0.995</v>
      </c>
      <c r="H6" s="2973">
        <v>4.4999999999999998E-2</v>
      </c>
      <c r="I6" s="2973">
        <v>0.05</v>
      </c>
      <c r="J6" s="176">
        <v>0.08</v>
      </c>
      <c r="K6" s="179">
        <f>SUMIF('数据-汇总表'!C$19:C$33,'数据-取费表'!A6,'数据-汇总表'!E$19:E$33)</f>
        <v>132579.91</v>
      </c>
      <c r="L6" s="3228">
        <v>1800</v>
      </c>
      <c r="M6" s="177">
        <f t="shared" ref="M6:M14" si="1">ROUND(K6*L6/10000,0)</f>
        <v>23864</v>
      </c>
      <c r="N6" s="2974">
        <v>0</v>
      </c>
      <c r="O6" s="177">
        <f>IF($N$5="成新度","——",ROUND(M6*N6,0))</f>
        <v>0</v>
      </c>
      <c r="P6" s="178">
        <f>IF($N$5="成新度","——",M6-O6)</f>
        <v>23864</v>
      </c>
      <c r="Q6" s="3229">
        <v>0.15</v>
      </c>
      <c r="R6" s="179">
        <f>SUMIF('数据-汇总表'!C$19:C$33,A6,'数据-汇总表'!R$19:R$33)</f>
        <v>68319.509999999995</v>
      </c>
      <c r="S6" s="132">
        <f>IF('数据-汇总表'!$I$17="按面积比例",SUMIF('数据-汇总表'!C$19:C$33,A6,'数据-汇总表'!K$19:K$33),SUMIF('数据-汇总表'!C$19:C$33,A6,'数据-汇总表'!N$19:N$33))</f>
        <v>10892.72</v>
      </c>
      <c r="T6" s="2215">
        <f>IF($T$4="按面积比例",IF(ISERROR(ROUND($M$14*S6/S$16,0)),"0",ROUND($M$14*S6/S$16,0)),"需自行计算录入")</f>
        <v>1961</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228"/>
      <c r="M7" s="177">
        <f t="shared" si="1"/>
        <v>0</v>
      </c>
      <c r="N7" s="2974"/>
      <c r="O7" s="177">
        <f t="shared" ref="O7:O14" si="3">IF($N$5="成新度","——",ROUND(M7*N7,0))</f>
        <v>0</v>
      </c>
      <c r="P7" s="178">
        <f t="shared" ref="P7:P14" si="4">IF($N$5="成新度","——",M7-O7)</f>
        <v>0</v>
      </c>
      <c r="Q7" s="3229"/>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228"/>
      <c r="M8" s="177">
        <f>ROUND(K8*L8/10000,0)</f>
        <v>0</v>
      </c>
      <c r="N8" s="2974"/>
      <c r="O8" s="177">
        <f t="shared" si="3"/>
        <v>0</v>
      </c>
      <c r="P8" s="178">
        <f t="shared" si="4"/>
        <v>0</v>
      </c>
      <c r="Q8" s="3229"/>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10892.720000000007</v>
      </c>
      <c r="L14" s="193">
        <f>L6</f>
        <v>1800</v>
      </c>
      <c r="M14" s="177">
        <f t="shared" si="1"/>
        <v>1961</v>
      </c>
      <c r="N14" s="194">
        <v>0</v>
      </c>
      <c r="O14" s="177">
        <f t="shared" si="3"/>
        <v>0</v>
      </c>
      <c r="P14" s="178">
        <f t="shared" si="4"/>
        <v>1961</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1653.78</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145126.41</v>
      </c>
      <c r="L16" s="206">
        <f>ROUND(M16*10000/SUM(K6:K14),0)</f>
        <v>1800</v>
      </c>
      <c r="M16" s="206">
        <f>SUM(M6:M14)</f>
        <v>25825</v>
      </c>
      <c r="N16" s="207">
        <f>ROUND(SUMPRODUCT(M6:M14,N6:N14)/M16,3)</f>
        <v>0</v>
      </c>
      <c r="O16" s="206">
        <f>SUM(O6:O14)</f>
        <v>0</v>
      </c>
      <c r="P16" s="206">
        <f>SUM(P6:P14)</f>
        <v>25825</v>
      </c>
      <c r="Q16" s="208">
        <f>ROUND(SUMPRODUCT(Q6:Q13,K6:K13)/SUMPRODUCT((Q6:Q13&gt;0)*(K6:K13)),2)</f>
        <v>0.15</v>
      </c>
      <c r="R16" s="2292">
        <f>SUM(R6:R13)</f>
        <v>68319.509999999995</v>
      </c>
      <c r="S16" s="209">
        <f>SUM(S6:S13)</f>
        <v>10892.72</v>
      </c>
      <c r="T16" s="210">
        <f>IF(SUMIF(T6:T13,"&lt;9E307")=M14,SUMIF(T6:T13,"&lt;9E307"),"有误，请检查")</f>
        <v>1961</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7.4999999999999997E-2</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197">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199">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198">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199">
        <v>0.02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3" t="s">
        <v>1663</v>
      </c>
      <c r="B1" s="3324"/>
      <c r="C1" s="3324"/>
      <c r="D1" s="3324"/>
      <c r="E1" s="3324"/>
      <c r="F1" s="3324"/>
      <c r="G1" s="3324"/>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2990" t="s">
        <v>2840</v>
      </c>
      <c r="B1" s="2990">
        <f>SUM(B14:B23)</f>
        <v>425972.46000000008</v>
      </c>
      <c r="C1" s="2991"/>
      <c r="D1" s="2991"/>
      <c r="E1" s="2991"/>
      <c r="F1" s="2991"/>
    </row>
    <row r="2" spans="1:9" ht="16.5">
      <c r="A2" s="2990" t="s">
        <v>2841</v>
      </c>
      <c r="B2" s="2990">
        <f>SUM(C14:C23)</f>
        <v>178553.47999999998</v>
      </c>
      <c r="C2" s="2991"/>
      <c r="D2" s="2991"/>
      <c r="E2" s="2991"/>
      <c r="F2" s="2991"/>
    </row>
    <row r="3" spans="1:9" ht="16.5">
      <c r="A3" s="2990" t="s">
        <v>2842</v>
      </c>
      <c r="B3" s="2992">
        <f>项目基本情况!D3</f>
        <v>43935</v>
      </c>
      <c r="C3" s="2991"/>
      <c r="D3" s="2991"/>
      <c r="E3" s="2991"/>
      <c r="F3" s="2991"/>
    </row>
    <row r="4" spans="1:9" ht="33">
      <c r="A4" s="2990" t="s">
        <v>2843</v>
      </c>
      <c r="B4" s="2990" t="s">
        <v>2844</v>
      </c>
      <c r="C4" s="2990" t="s">
        <v>2845</v>
      </c>
      <c r="D4" s="2990" t="s">
        <v>2846</v>
      </c>
      <c r="E4" s="2991"/>
      <c r="F4" s="2991"/>
    </row>
    <row r="5" spans="1:9" ht="16.5">
      <c r="A5" s="2990" t="s">
        <v>2847</v>
      </c>
      <c r="B5" s="2990">
        <f ca="1">SUM(D14:D23)</f>
        <v>30532</v>
      </c>
      <c r="C5" s="2990">
        <f ca="1">ROUND(B5*10000/$B$1,0)</f>
        <v>717</v>
      </c>
      <c r="D5" s="2990">
        <f ca="1">ROUND(B5*10000/$B$2,0)</f>
        <v>1710</v>
      </c>
      <c r="E5" s="2991"/>
      <c r="F5" s="2991"/>
    </row>
    <row r="6" spans="1:9" ht="16.5">
      <c r="A6" s="2990" t="s">
        <v>2848</v>
      </c>
      <c r="B6" s="2990">
        <f ca="1">SUM(G14:G23)</f>
        <v>30532</v>
      </c>
      <c r="C6" s="2990">
        <f ca="1">ROUND(B6*10000/$B$1,0)</f>
        <v>717</v>
      </c>
      <c r="D6" s="2990">
        <f ca="1">ROUND(B6*10000/$B$2,0)</f>
        <v>1710</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145126.41</v>
      </c>
      <c r="C14" s="2994">
        <f>结果表!K38</f>
        <v>68319.509999999995</v>
      </c>
      <c r="D14" s="2994">
        <f ca="1">结果表!C42</f>
        <v>12776</v>
      </c>
      <c r="E14" s="2994">
        <f ca="1">ROUND(D14*10000/B14,0)</f>
        <v>880</v>
      </c>
      <c r="F14" s="2994">
        <f ca="1">ROUND(D14*10000/C14,0)</f>
        <v>1870</v>
      </c>
      <c r="G14" s="2994">
        <f ca="1">结果表!C44</f>
        <v>12776</v>
      </c>
      <c r="H14" s="2994" t="str">
        <f>结果表!C45</f>
        <v>——</v>
      </c>
      <c r="I14" s="2994" t="str">
        <f>结果表!C46</f>
        <v>——</v>
      </c>
    </row>
    <row r="15" spans="1:9" ht="16.5">
      <c r="A15" s="2997" t="s">
        <v>2857</v>
      </c>
      <c r="B15" s="2998">
        <f>[1]系统读取表!$B$14</f>
        <v>280846.05000000005</v>
      </c>
      <c r="C15" s="2998">
        <f>[1]系统读取表!$C$14</f>
        <v>110233.97</v>
      </c>
      <c r="D15" s="2998">
        <f ca="1">[1]系统读取表!$D$14</f>
        <v>17756</v>
      </c>
      <c r="E15" s="2994">
        <f t="shared" ref="E15:E23" ca="1" si="0">ROUND(D15*10000/B15,0)</f>
        <v>632</v>
      </c>
      <c r="F15" s="2994">
        <f t="shared" ref="F15:F23" ca="1" si="1">ROUND(D15*10000/C15,0)</f>
        <v>1611</v>
      </c>
      <c r="G15" s="2995">
        <f ca="1">D15</f>
        <v>17756</v>
      </c>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O46" sqref="O4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61" t="str">
        <f>项目基本情况!K2</f>
        <v>出让国有建设用地使用权</v>
      </c>
      <c r="B2" s="3362"/>
      <c r="C2" s="3363"/>
      <c r="D2" s="3363"/>
      <c r="E2" s="3363"/>
      <c r="F2" s="3363"/>
      <c r="G2" s="3362"/>
      <c r="H2" s="3362"/>
      <c r="I2" s="3364"/>
      <c r="J2" s="2011"/>
      <c r="K2" s="2010"/>
      <c r="L2" s="2010"/>
      <c r="M2" s="2010"/>
      <c r="N2" s="2010"/>
      <c r="O2" s="2010"/>
      <c r="P2" s="2010"/>
      <c r="Q2" s="2010"/>
      <c r="R2" s="2010"/>
      <c r="S2" s="2010"/>
      <c r="T2" s="2010"/>
      <c r="U2" s="2010"/>
      <c r="V2" s="2010"/>
    </row>
    <row r="3" spans="1:22" ht="14.25">
      <c r="A3" s="3354" t="s">
        <v>298</v>
      </c>
      <c r="B3" s="3355"/>
      <c r="C3" s="3355"/>
      <c r="D3" s="3355"/>
      <c r="E3" s="3355"/>
      <c r="F3" s="3355"/>
      <c r="G3" s="3355"/>
      <c r="H3" s="3355"/>
      <c r="I3" s="3355"/>
      <c r="J3" s="2011"/>
      <c r="K3" s="2010"/>
      <c r="L3" s="2010"/>
      <c r="M3" s="2010"/>
      <c r="N3" s="2010"/>
      <c r="O3" s="2010"/>
      <c r="P3" s="2010"/>
      <c r="Q3" s="2010"/>
      <c r="R3" s="2010"/>
      <c r="S3" s="2010"/>
      <c r="T3" s="2010"/>
      <c r="U3" s="2010"/>
      <c r="V3" s="2010"/>
    </row>
    <row r="4" spans="1:22" ht="14.25">
      <c r="A4" s="256" t="s">
        <v>299</v>
      </c>
      <c r="B4" s="257" t="s">
        <v>300</v>
      </c>
      <c r="C4" s="258" t="s">
        <v>3137</v>
      </c>
      <c r="D4" s="258" t="s">
        <v>3040</v>
      </c>
      <c r="E4" s="3326" t="s">
        <v>301</v>
      </c>
      <c r="F4" s="3327"/>
      <c r="G4" s="3327"/>
      <c r="H4" s="3327"/>
      <c r="I4" s="3356"/>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5" t="s">
        <v>302</v>
      </c>
      <c r="B5" s="3351">
        <v>25</v>
      </c>
      <c r="C5" s="3349"/>
      <c r="D5" s="3353"/>
      <c r="E5" s="259" t="s">
        <v>303</v>
      </c>
      <c r="F5" s="260"/>
      <c r="G5" s="260"/>
      <c r="H5" s="260"/>
      <c r="I5" s="261"/>
      <c r="J5" s="2011"/>
      <c r="K5" s="2010"/>
      <c r="L5" s="2010"/>
      <c r="M5" s="2010"/>
      <c r="N5" s="2010"/>
      <c r="O5" s="2010"/>
      <c r="P5" s="2010"/>
      <c r="Q5" s="2010"/>
      <c r="R5" s="2010"/>
      <c r="S5" s="2010"/>
      <c r="T5" s="2010"/>
      <c r="U5" s="2010"/>
      <c r="V5" s="2010"/>
    </row>
    <row r="6" spans="1:22" ht="14.25">
      <c r="A6" s="3325"/>
      <c r="B6" s="3351"/>
      <c r="C6" s="3352"/>
      <c r="D6" s="3353"/>
      <c r="E6" s="259" t="s">
        <v>304</v>
      </c>
      <c r="F6" s="260"/>
      <c r="G6" s="260"/>
      <c r="H6" s="260"/>
      <c r="I6" s="261"/>
      <c r="J6" s="2011"/>
      <c r="K6" s="2010"/>
      <c r="L6" s="2010"/>
      <c r="M6" s="2010"/>
      <c r="N6" s="2010"/>
      <c r="O6" s="2010"/>
      <c r="P6" s="2010"/>
      <c r="Q6" s="2010"/>
      <c r="R6" s="2010"/>
      <c r="S6" s="2010"/>
      <c r="T6" s="2010"/>
      <c r="U6" s="2010"/>
      <c r="V6" s="2010"/>
    </row>
    <row r="7" spans="1:22" ht="14.25">
      <c r="A7" s="3325"/>
      <c r="B7" s="3351"/>
      <c r="C7" s="3350"/>
      <c r="D7" s="3353"/>
      <c r="E7" s="259" t="s">
        <v>305</v>
      </c>
      <c r="F7" s="260"/>
      <c r="G7" s="260"/>
      <c r="H7" s="260"/>
      <c r="I7" s="261"/>
      <c r="J7" s="2011"/>
      <c r="K7" s="2010"/>
      <c r="L7" s="2010"/>
      <c r="M7" s="2010"/>
      <c r="N7" s="2010"/>
      <c r="O7" s="2010"/>
      <c r="P7" s="2010"/>
      <c r="Q7" s="2010"/>
      <c r="R7" s="2010"/>
      <c r="S7" s="2010"/>
      <c r="T7" s="2010"/>
      <c r="U7" s="2010"/>
      <c r="V7" s="2010"/>
    </row>
    <row r="8" spans="1:22" ht="14.25">
      <c r="A8" s="3325" t="s">
        <v>306</v>
      </c>
      <c r="B8" s="3351">
        <v>15</v>
      </c>
      <c r="C8" s="3349"/>
      <c r="D8" s="3353"/>
      <c r="E8" s="259" t="s">
        <v>307</v>
      </c>
      <c r="F8" s="260"/>
      <c r="G8" s="260"/>
      <c r="H8" s="260"/>
      <c r="I8" s="261"/>
      <c r="J8" s="2011"/>
      <c r="K8" s="2010"/>
      <c r="L8" s="2010"/>
      <c r="M8" s="2010"/>
      <c r="N8" s="2010"/>
      <c r="O8" s="2010"/>
      <c r="P8" s="2010"/>
      <c r="Q8" s="2010"/>
      <c r="R8" s="2010"/>
      <c r="S8" s="2010"/>
      <c r="T8" s="2010"/>
      <c r="U8" s="2010"/>
      <c r="V8" s="2010"/>
    </row>
    <row r="9" spans="1:22" ht="14.25">
      <c r="A9" s="3325"/>
      <c r="B9" s="3351"/>
      <c r="C9" s="3350"/>
      <c r="D9" s="3353"/>
      <c r="E9" s="259" t="s">
        <v>308</v>
      </c>
      <c r="F9" s="260"/>
      <c r="G9" s="260"/>
      <c r="H9" s="260"/>
      <c r="I9" s="261"/>
      <c r="J9" s="2011"/>
      <c r="K9" s="2010"/>
      <c r="L9" s="2010"/>
      <c r="M9" s="2010"/>
      <c r="N9" s="2010"/>
      <c r="O9" s="2010"/>
      <c r="P9" s="2010"/>
      <c r="Q9" s="2010"/>
      <c r="R9" s="2010"/>
      <c r="S9" s="2010"/>
      <c r="T9" s="2010"/>
      <c r="U9" s="2010"/>
      <c r="V9" s="2010"/>
    </row>
    <row r="10" spans="1:22" ht="14.25">
      <c r="A10" s="3325" t="s">
        <v>309</v>
      </c>
      <c r="B10" s="3351">
        <v>15</v>
      </c>
      <c r="C10" s="3349"/>
      <c r="D10" s="3353"/>
      <c r="E10" s="259" t="s">
        <v>310</v>
      </c>
      <c r="F10" s="260"/>
      <c r="G10" s="260"/>
      <c r="H10" s="260"/>
      <c r="I10" s="261"/>
      <c r="J10" s="2011"/>
      <c r="K10" s="2010"/>
      <c r="L10" s="2010"/>
      <c r="M10" s="2010"/>
      <c r="N10" s="2010"/>
      <c r="O10" s="2010"/>
      <c r="P10" s="2010"/>
      <c r="Q10" s="2010"/>
      <c r="R10" s="2010"/>
      <c r="S10" s="2010"/>
      <c r="T10" s="2010"/>
      <c r="U10" s="2010"/>
      <c r="V10" s="2010"/>
    </row>
    <row r="11" spans="1:22" ht="14.25">
      <c r="A11" s="3325"/>
      <c r="B11" s="3351"/>
      <c r="C11" s="3350"/>
      <c r="D11" s="3353"/>
      <c r="E11" s="259" t="s">
        <v>311</v>
      </c>
      <c r="F11" s="260"/>
      <c r="G11" s="260"/>
      <c r="H11" s="260"/>
      <c r="I11" s="261"/>
      <c r="J11" s="2011"/>
      <c r="K11" s="2010"/>
      <c r="L11" s="2010"/>
      <c r="M11" s="2010"/>
      <c r="N11" s="2010"/>
      <c r="O11" s="2010"/>
      <c r="P11" s="2010"/>
      <c r="Q11" s="2010"/>
      <c r="R11" s="2010"/>
      <c r="S11" s="2010"/>
      <c r="T11" s="2010"/>
      <c r="U11" s="2010"/>
      <c r="V11" s="2010"/>
    </row>
    <row r="12" spans="1:22" ht="14.25">
      <c r="A12" s="3325" t="s">
        <v>312</v>
      </c>
      <c r="B12" s="3351">
        <v>15</v>
      </c>
      <c r="C12" s="3349"/>
      <c r="D12" s="3353"/>
      <c r="E12" s="259" t="s">
        <v>313</v>
      </c>
      <c r="F12" s="260"/>
      <c r="G12" s="260"/>
      <c r="H12" s="260"/>
      <c r="I12" s="261"/>
      <c r="J12" s="2011"/>
      <c r="K12" s="2010"/>
      <c r="L12" s="2010"/>
      <c r="M12" s="2010"/>
      <c r="N12" s="2010"/>
      <c r="O12" s="2010"/>
      <c r="P12" s="2010"/>
      <c r="Q12" s="2010"/>
      <c r="R12" s="2010"/>
      <c r="S12" s="2010"/>
      <c r="T12" s="2010"/>
      <c r="U12" s="2010"/>
      <c r="V12" s="2010"/>
    </row>
    <row r="13" spans="1:22" ht="14.25">
      <c r="A13" s="3325"/>
      <c r="B13" s="3351"/>
      <c r="C13" s="3350"/>
      <c r="D13" s="3353"/>
      <c r="E13" s="259" t="s">
        <v>314</v>
      </c>
      <c r="F13" s="260"/>
      <c r="G13" s="260"/>
      <c r="H13" s="260"/>
      <c r="I13" s="261"/>
      <c r="J13" s="2011"/>
      <c r="K13" s="2010"/>
      <c r="L13" s="2010"/>
      <c r="M13" s="2010"/>
      <c r="N13" s="2010"/>
      <c r="O13" s="2010"/>
      <c r="P13" s="2010"/>
      <c r="Q13" s="2010"/>
      <c r="R13" s="2010"/>
      <c r="S13" s="2010"/>
      <c r="T13" s="2010"/>
      <c r="U13" s="2010"/>
      <c r="V13" s="2010"/>
    </row>
    <row r="14" spans="1:22" ht="14.25">
      <c r="A14" s="3325" t="s">
        <v>315</v>
      </c>
      <c r="B14" s="3351">
        <v>30</v>
      </c>
      <c r="C14" s="3349">
        <v>5</v>
      </c>
      <c r="D14" s="3353">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25"/>
      <c r="B15" s="3351"/>
      <c r="C15" s="3352"/>
      <c r="D15" s="3353"/>
      <c r="E15" s="259" t="s">
        <v>317</v>
      </c>
      <c r="F15" s="260"/>
      <c r="G15" s="260"/>
      <c r="H15" s="260"/>
      <c r="I15" s="261"/>
      <c r="J15" s="2011"/>
      <c r="K15" s="2010"/>
      <c r="L15" s="2010"/>
      <c r="M15" s="2010"/>
      <c r="N15" s="2010"/>
      <c r="O15" s="2010"/>
      <c r="P15" s="2010"/>
      <c r="Q15" s="2010"/>
      <c r="R15" s="2010"/>
      <c r="S15" s="2010"/>
      <c r="T15" s="2010"/>
      <c r="U15" s="2010"/>
      <c r="V15" s="2010"/>
    </row>
    <row r="16" spans="1:22" ht="14.25">
      <c r="A16" s="3325"/>
      <c r="B16" s="3351"/>
      <c r="C16" s="3350"/>
      <c r="D16" s="3353"/>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12463</v>
      </c>
      <c r="D19" s="269">
        <f ca="1">SUMIF(INDIRECT("'"&amp;D4&amp;"'"&amp;"!A:A"),结果表!B19,INDIRECT("'"&amp;D4&amp;"'"&amp;"!B:B"))</f>
        <v>13089</v>
      </c>
      <c r="E19" s="266" t="s">
        <v>323</v>
      </c>
      <c r="F19" s="267" t="s">
        <v>322</v>
      </c>
      <c r="G19" s="270">
        <f ca="1">ROUND(C19*$C$18+D19*$D$18,0)</f>
        <v>12776</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859</v>
      </c>
      <c r="D20" s="275">
        <f ca="1">SUMIF(INDIRECT("'"&amp;D4&amp;"'"&amp;"!A:A"),结果表!B20,INDIRECT("'"&amp;D4&amp;"'"&amp;"!B:B"))</f>
        <v>902</v>
      </c>
      <c r="E20" s="272"/>
      <c r="F20" s="273" t="s">
        <v>325</v>
      </c>
      <c r="G20" s="276">
        <f ca="1">ROUND(C20*$C$18+D20*$D$18,0)</f>
        <v>881</v>
      </c>
      <c r="H20" s="277" t="s">
        <v>326</v>
      </c>
      <c r="I20" s="309"/>
      <c r="J20" s="2010"/>
      <c r="K20" s="2010">
        <f ca="1">G19*10000/'数据-汇总表'!F31</f>
        <v>918.67563444418101</v>
      </c>
      <c r="L20" s="2010">
        <f ca="1">G19*10000/'数据-汇总表'!F27</f>
        <v>963.64524610101182</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1824</v>
      </c>
      <c r="D21" s="151">
        <f ca="1">SUMIF(INDIRECT("'"&amp;D4&amp;"'"&amp;"!A:A"),结果表!B21,INDIRECT("'"&amp;D4&amp;"'"&amp;"!B:B"))</f>
        <v>1916</v>
      </c>
      <c r="E21" s="272"/>
      <c r="F21" s="278" t="s">
        <v>327</v>
      </c>
      <c r="G21" s="280">
        <f ca="1">ROUND(C21*$C$18+D21*$D$18,0)</f>
        <v>1870</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5.0228676883575352E-2</v>
      </c>
      <c r="E22" s="282"/>
      <c r="F22" s="283"/>
      <c r="G22" s="284">
        <f ca="1">ROUND(G19/('数据-汇总表'!D3/666.67),0)</f>
        <v>125</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1"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32"/>
      <c r="B25" s="1314" t="s">
        <v>331</v>
      </c>
      <c r="C25" s="288">
        <f>IF(B30=0,0,C30)</f>
        <v>0</v>
      </c>
      <c r="D25" s="289"/>
      <c r="E25" s="309"/>
      <c r="F25" s="309"/>
      <c r="G25" s="309"/>
      <c r="H25" s="309"/>
      <c r="I25" s="309"/>
      <c r="J25" s="2010"/>
      <c r="K25" s="1248" t="str">
        <f ca="1">项目基本情况!B16&amp;"国有建设用地使用权价格："&amp;O38&amp;"万元"</f>
        <v>出让国有建设用地使用权价格：12776万元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大写金额：人民币壹亿贰仟柒佰柒拾陆万元整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单位面积地价：1870元/平方米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楼面地价：880元/平方米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抵押价格：12776万元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大写金额：人民币壹亿贰仟柒佰柒拾陆万元整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12776</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880</v>
      </c>
      <c r="D33" s="1378" t="s">
        <v>1690</v>
      </c>
      <c r="E33" s="3331"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1870</v>
      </c>
      <c r="D34" s="1380" t="s">
        <v>1690</v>
      </c>
      <c r="E34" s="3372"/>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125</v>
      </c>
      <c r="D35" s="1383" t="s">
        <v>1692</v>
      </c>
      <c r="E35" s="3373"/>
      <c r="F35" s="299" t="s">
        <v>342</v>
      </c>
      <c r="G35" s="979"/>
      <c r="H35" s="978" t="s">
        <v>343</v>
      </c>
      <c r="I35" s="309"/>
      <c r="J35" s="2010"/>
      <c r="K35" s="3346" t="s">
        <v>350</v>
      </c>
      <c r="L35" s="3346" t="s">
        <v>351</v>
      </c>
      <c r="M35" s="1257" t="s">
        <v>352</v>
      </c>
      <c r="N35" s="3346" t="s">
        <v>353</v>
      </c>
      <c r="O35" s="3346" t="s">
        <v>354</v>
      </c>
      <c r="P35" s="2010"/>
      <c r="V35" s="2010"/>
    </row>
    <row r="36" spans="1:26" ht="16.5" customHeight="1">
      <c r="A36" s="301" t="s">
        <v>344</v>
      </c>
      <c r="B36" s="302" t="s">
        <v>333</v>
      </c>
      <c r="C36" s="303" t="s">
        <v>345</v>
      </c>
      <c r="D36" s="303" t="s">
        <v>346</v>
      </c>
      <c r="E36" s="304" t="s">
        <v>347</v>
      </c>
      <c r="F36" s="309"/>
      <c r="G36" s="309"/>
      <c r="H36" s="309"/>
      <c r="I36" s="309"/>
      <c r="J36" s="2012"/>
      <c r="K36" s="3347"/>
      <c r="L36" s="3347"/>
      <c r="M36" s="1259" t="s">
        <v>355</v>
      </c>
      <c r="N36" s="3347"/>
      <c r="O36" s="3347"/>
      <c r="P36" s="2010"/>
      <c r="V36" s="2010"/>
    </row>
    <row r="37" spans="1:26" ht="16.5" customHeight="1" thickBot="1">
      <c r="A37" s="1253" t="s">
        <v>348</v>
      </c>
      <c r="B37" s="305"/>
      <c r="C37" s="292"/>
      <c r="D37" s="292"/>
      <c r="E37" s="293"/>
      <c r="F37" s="309"/>
      <c r="G37" s="309"/>
      <c r="H37" s="309"/>
      <c r="I37" s="309"/>
      <c r="J37" s="2012"/>
      <c r="K37" s="3348"/>
      <c r="L37" s="3348"/>
      <c r="M37" s="1260"/>
      <c r="N37" s="3348"/>
      <c r="O37" s="3348"/>
      <c r="P37" s="2010"/>
      <c r="V37" s="2010"/>
    </row>
    <row r="38" spans="1:26" ht="16.5" customHeight="1" thickBot="1">
      <c r="A38" s="1253" t="s">
        <v>349</v>
      </c>
      <c r="B38" s="305"/>
      <c r="C38" s="292"/>
      <c r="D38" s="292"/>
      <c r="E38" s="293"/>
      <c r="F38" s="309"/>
      <c r="G38" s="309"/>
      <c r="H38" s="309"/>
      <c r="I38" s="309"/>
      <c r="J38" s="2012"/>
      <c r="K38" s="1261">
        <f>'数据-汇总表'!D3</f>
        <v>68319.509999999995</v>
      </c>
      <c r="L38" s="1262">
        <f>'数据-汇总表'!E3</f>
        <v>145126.41</v>
      </c>
      <c r="M38" s="1262">
        <f ca="1">C34</f>
        <v>1870</v>
      </c>
      <c r="N38" s="1262">
        <f ca="1">C33</f>
        <v>880</v>
      </c>
      <c r="O38" s="1263">
        <f ca="1">C32</f>
        <v>12776</v>
      </c>
      <c r="P38" s="2010"/>
      <c r="V38" s="2010"/>
    </row>
    <row r="39" spans="1:26" ht="16.5" customHeight="1" thickBot="1">
      <c r="A39" s="1258"/>
      <c r="B39" s="306"/>
      <c r="C39" s="307"/>
      <c r="D39" s="307"/>
      <c r="E39" s="308"/>
      <c r="F39" s="309"/>
      <c r="G39" s="309"/>
      <c r="H39" s="309"/>
      <c r="I39" s="309"/>
      <c r="J39" s="2012"/>
      <c r="K39" s="3391" t="str">
        <f>MID(A44,3,LEN(A44)-2)</f>
        <v>抵押价格</v>
      </c>
      <c r="L39" s="3392"/>
      <c r="M39" s="3392"/>
      <c r="N39" s="3393"/>
      <c r="O39" s="1385">
        <f ca="1">C44</f>
        <v>12776</v>
      </c>
      <c r="P39" s="2010"/>
      <c r="V39" s="2010"/>
    </row>
    <row r="40" spans="1:26" ht="19.5" thickBot="1">
      <c r="A40" s="104" t="s">
        <v>873</v>
      </c>
      <c r="B40" s="309"/>
      <c r="C40" s="309"/>
      <c r="D40" s="309"/>
      <c r="E40" s="309"/>
      <c r="F40" s="309"/>
      <c r="G40" s="309"/>
      <c r="H40" s="309"/>
      <c r="I40" s="309"/>
      <c r="J40" s="2012"/>
      <c r="K40" s="3391" t="str">
        <f>MID(A45,3,LEN(A45)-2)</f>
        <v/>
      </c>
      <c r="L40" s="3392"/>
      <c r="M40" s="3392"/>
      <c r="N40" s="3393"/>
      <c r="O40" s="1385" t="str">
        <f>C45</f>
        <v>——</v>
      </c>
      <c r="P40" s="2010"/>
      <c r="V40" s="2010"/>
    </row>
    <row r="41" spans="1:26" ht="16.5" thickBot="1">
      <c r="A41" s="310" t="s">
        <v>356</v>
      </c>
      <c r="B41" s="311"/>
      <c r="C41" s="312" t="s">
        <v>357</v>
      </c>
      <c r="D41" s="313" t="s">
        <v>358</v>
      </c>
      <c r="E41" s="313" t="s">
        <v>359</v>
      </c>
      <c r="F41" s="314" t="s">
        <v>360</v>
      </c>
      <c r="G41" s="309"/>
      <c r="H41" s="309"/>
      <c r="I41" s="309"/>
      <c r="J41" s="2012"/>
      <c r="K41" s="3391" t="str">
        <f>MID(A46,3,LEN(A46)-2)</f>
        <v/>
      </c>
      <c r="L41" s="3392"/>
      <c r="M41" s="3392"/>
      <c r="N41" s="3393"/>
      <c r="O41" s="1385" t="str">
        <f>C46</f>
        <v>——</v>
      </c>
      <c r="P41" s="2010"/>
      <c r="V41" s="2010"/>
    </row>
    <row r="42" spans="1:26" ht="29.25">
      <c r="A42" s="3333" t="s">
        <v>2064</v>
      </c>
      <c r="B42" s="3334"/>
      <c r="C42" s="262">
        <f ca="1">C32</f>
        <v>12776</v>
      </c>
      <c r="D42" s="315">
        <f ca="1">C33</f>
        <v>880</v>
      </c>
      <c r="E42" s="315">
        <f ca="1">C34</f>
        <v>1870</v>
      </c>
      <c r="F42" s="316">
        <f ca="1">C35</f>
        <v>125</v>
      </c>
      <c r="G42" s="309"/>
      <c r="H42" s="309"/>
      <c r="I42" s="317"/>
      <c r="J42" s="2012"/>
      <c r="K42" s="1264" t="s">
        <v>361</v>
      </c>
      <c r="L42" s="2029" t="s">
        <v>362</v>
      </c>
      <c r="M42" s="1265" t="s">
        <v>363</v>
      </c>
      <c r="N42" s="2030" t="s">
        <v>364</v>
      </c>
      <c r="O42" s="2031" t="s">
        <v>365</v>
      </c>
      <c r="P42" s="2010"/>
      <c r="V42" s="2010"/>
    </row>
    <row r="43" spans="1:26" ht="30">
      <c r="A43" s="3344" t="s">
        <v>2726</v>
      </c>
      <c r="B43" s="3345"/>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12463</v>
      </c>
      <c r="M43" s="1268">
        <f>C18</f>
        <v>0.5</v>
      </c>
      <c r="N43" s="1269">
        <f ca="1">IF(N42="测算结果/万元",G19,G20)</f>
        <v>12776</v>
      </c>
      <c r="O43" s="1270">
        <f ca="1">IF(O42="最终结果/万元",C32,C33)</f>
        <v>12776</v>
      </c>
      <c r="P43" s="2010"/>
      <c r="V43" s="2010"/>
    </row>
    <row r="44" spans="1:26" ht="30.75" thickBot="1">
      <c r="A44" s="3333" t="str">
        <f>IF(OR(项目基本情况!E8="抵押价格",项目基本情况!E8="已注销及未注销"),"3.抵押价格","——")</f>
        <v>3.抵押价格</v>
      </c>
      <c r="B44" s="3334"/>
      <c r="C44" s="262">
        <f ca="1">IF(A44="——","——",C42-C43)</f>
        <v>12776</v>
      </c>
      <c r="D44" s="315">
        <f ca="1">ROUND(C44*10000/'数据-汇总表'!E3,0)</f>
        <v>880</v>
      </c>
      <c r="E44" s="315">
        <f ca="1">ROUND(C44*10000/'数据-汇总表'!D3,0)</f>
        <v>1870</v>
      </c>
      <c r="F44" s="316">
        <f ca="1">ROUND(C44/('数据-汇总表'!D3/666.67),0)</f>
        <v>125</v>
      </c>
      <c r="G44" s="309"/>
      <c r="H44" s="309"/>
      <c r="I44" s="317"/>
      <c r="J44" s="2012"/>
      <c r="K44" s="1271" t="str">
        <f>D4</f>
        <v>剩余法-待开发</v>
      </c>
      <c r="L44" s="1272">
        <f ca="1">IF(L42="估价结果/万元",D19,D20)</f>
        <v>13089</v>
      </c>
      <c r="M44" s="1273">
        <f>D18</f>
        <v>0.5</v>
      </c>
      <c r="N44" s="1274"/>
      <c r="O44" s="1275"/>
      <c r="P44" s="2010"/>
      <c r="V44" s="2010"/>
    </row>
    <row r="45" spans="1:26" ht="15">
      <c r="A45" s="3339" t="str">
        <f>IF(项目基本情况!E8="已注销及未注销","4.抵押担保权已注销时的抵押价格",IF(项目基本情况!E8="已注销","3.抵押担保权已注销时的抵押价格","——"))</f>
        <v>——</v>
      </c>
      <c r="B45" s="3340"/>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35" t="str">
        <f>IF(项目基本情况!E9="抵押净值",IF(A45="——","4.抵押净值","5.抵押净值"),"——")</f>
        <v>——</v>
      </c>
      <c r="B46" s="3336"/>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80" t="s">
        <v>374</v>
      </c>
      <c r="B63" s="3381"/>
      <c r="C63" s="3382"/>
      <c r="D63" s="339">
        <f ca="1">ROUND(C42*F63,0)</f>
        <v>7666</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41" t="s">
        <v>378</v>
      </c>
      <c r="B64" s="3342"/>
      <c r="C64" s="3342"/>
      <c r="D64" s="3342"/>
      <c r="E64" s="3342"/>
      <c r="F64" s="3342"/>
      <c r="G64" s="3343"/>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37" t="s">
        <v>386</v>
      </c>
      <c r="B66" s="3338"/>
      <c r="C66" s="3338"/>
      <c r="D66" s="259">
        <f ca="1">IF(H66="情况1",0,IF(H66="情况2",D70,IF(H66="情况3",D71,IF(H66="情况4",D72))))</f>
        <v>402</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95" t="s">
        <v>385</v>
      </c>
      <c r="M66" s="3396"/>
      <c r="N66" s="2419"/>
      <c r="O66" s="2420"/>
      <c r="P66" s="2421"/>
      <c r="Q66" s="2010"/>
      <c r="R66" s="2010"/>
      <c r="S66" s="2010"/>
      <c r="T66" s="2010"/>
      <c r="U66" s="2010"/>
      <c r="V66" s="2010"/>
    </row>
    <row r="67" spans="1:22" ht="25.5" customHeight="1">
      <c r="A67" s="350" t="s">
        <v>390</v>
      </c>
      <c r="B67" s="3328" t="s">
        <v>391</v>
      </c>
      <c r="C67" s="3328"/>
      <c r="D67" s="351">
        <v>0</v>
      </c>
      <c r="E67" s="41" t="s">
        <v>392</v>
      </c>
      <c r="F67" s="62" t="s">
        <v>21</v>
      </c>
      <c r="G67" s="3383"/>
      <c r="H67" s="309"/>
      <c r="I67" s="1285"/>
      <c r="J67" s="2017"/>
      <c r="K67" s="1958">
        <v>2</v>
      </c>
      <c r="L67" s="3394" t="s">
        <v>389</v>
      </c>
      <c r="M67" s="3394"/>
      <c r="N67" s="1318">
        <f>'数据-取费表'!B2</f>
        <v>43935</v>
      </c>
      <c r="O67" s="1318"/>
      <c r="P67" s="1318"/>
      <c r="Q67" s="2010"/>
      <c r="R67" s="2010"/>
      <c r="S67" s="2010"/>
      <c r="T67" s="2010"/>
      <c r="U67" s="2010"/>
      <c r="V67" s="2010"/>
    </row>
    <row r="68" spans="1:22" ht="25.5" customHeight="1">
      <c r="A68" s="352"/>
      <c r="B68" s="3328" t="s">
        <v>394</v>
      </c>
      <c r="C68" s="3328"/>
      <c r="D68" s="353"/>
      <c r="E68" s="77"/>
      <c r="F68" s="354"/>
      <c r="G68" s="3384"/>
      <c r="H68" s="309"/>
      <c r="I68" s="1285"/>
      <c r="J68" s="2017"/>
      <c r="K68" s="1958">
        <v>3</v>
      </c>
      <c r="L68" s="3394" t="s">
        <v>393</v>
      </c>
      <c r="M68" s="3394"/>
      <c r="N68" s="1286">
        <f ca="1">C42</f>
        <v>12776</v>
      </c>
      <c r="O68" s="1286"/>
      <c r="P68" s="1286"/>
      <c r="Q68" s="2010"/>
      <c r="R68" s="2010"/>
      <c r="S68" s="2010"/>
      <c r="T68" s="2010"/>
      <c r="U68" s="2010"/>
      <c r="V68" s="2010"/>
    </row>
    <row r="69" spans="1:22" ht="12" customHeight="1">
      <c r="A69" s="355"/>
      <c r="B69" s="3328" t="s">
        <v>395</v>
      </c>
      <c r="C69" s="3328"/>
      <c r="D69" s="356"/>
      <c r="E69" s="73"/>
      <c r="F69" s="354"/>
      <c r="G69" s="3385"/>
      <c r="H69" s="309"/>
      <c r="I69" s="1285"/>
      <c r="J69" s="2017"/>
      <c r="K69" s="1287">
        <v>4</v>
      </c>
      <c r="L69" s="3399" t="s">
        <v>2879</v>
      </c>
      <c r="M69" s="3400"/>
      <c r="N69" s="1288">
        <f ca="1">C44</f>
        <v>12776</v>
      </c>
      <c r="O69" s="1288"/>
      <c r="P69" s="1288"/>
      <c r="Q69" s="2010"/>
      <c r="R69" s="2010"/>
      <c r="S69" s="2010"/>
      <c r="T69" s="2010"/>
      <c r="U69" s="2010"/>
      <c r="V69" s="2010"/>
    </row>
    <row r="70" spans="1:22" ht="24" customHeight="1">
      <c r="A70" s="357" t="s">
        <v>396</v>
      </c>
      <c r="B70" s="3328" t="s">
        <v>397</v>
      </c>
      <c r="C70" s="3328"/>
      <c r="D70" s="356">
        <f ca="1">ROUND(D63*'数据-取费表'!B41/(1+'数据-取费表'!C42),0)</f>
        <v>402</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29" t="s">
        <v>405</v>
      </c>
      <c r="C71" s="3330"/>
      <c r="D71" s="356">
        <f ca="1">ROUND(D63*'数据-取费表'!B41/(1+'数据-取费表'!C42),0)</f>
        <v>402</v>
      </c>
      <c r="E71" s="17" t="s">
        <v>398</v>
      </c>
      <c r="F71" s="358">
        <f>'数据-取费表'!B41</f>
        <v>5.5000000000000007E-2</v>
      </c>
      <c r="G71" s="359"/>
      <c r="H71" s="309"/>
      <c r="I71" s="1285"/>
      <c r="J71" s="2017"/>
      <c r="K71" s="3006" t="s">
        <v>399</v>
      </c>
      <c r="L71" s="3401" t="s">
        <v>400</v>
      </c>
      <c r="M71" s="3401"/>
      <c r="N71" s="3006" t="s">
        <v>401</v>
      </c>
      <c r="O71" s="3006" t="s">
        <v>402</v>
      </c>
      <c r="P71" s="3006" t="s">
        <v>403</v>
      </c>
      <c r="Q71" s="2010"/>
      <c r="R71" s="2010"/>
      <c r="S71" s="2010"/>
      <c r="T71" s="2010"/>
      <c r="U71" s="2010"/>
      <c r="V71" s="2010"/>
    </row>
    <row r="72" spans="1:22" ht="12" customHeight="1">
      <c r="A72" s="357" t="s">
        <v>407</v>
      </c>
      <c r="B72" s="3329" t="s">
        <v>408</v>
      </c>
      <c r="C72" s="3330"/>
      <c r="D72" s="356">
        <f ca="1">C86</f>
        <v>292</v>
      </c>
      <c r="E72" s="73" t="s">
        <v>409</v>
      </c>
      <c r="F72" s="358">
        <f>'数据-取费表'!B41</f>
        <v>5.5000000000000007E-2</v>
      </c>
      <c r="G72" s="359"/>
      <c r="H72" s="1291"/>
      <c r="I72" s="1285"/>
      <c r="J72" s="2017"/>
      <c r="K72" s="1958">
        <v>1</v>
      </c>
      <c r="L72" s="3376" t="s">
        <v>406</v>
      </c>
      <c r="M72" s="3376"/>
      <c r="N72" s="1289">
        <f ca="1">D66</f>
        <v>402</v>
      </c>
      <c r="O72" s="1841" t="str">
        <f>E66</f>
        <v>销售额×税（费）率</v>
      </c>
      <c r="P72" s="1290">
        <f>F66</f>
        <v>5.5000000000000007E-2</v>
      </c>
      <c r="Q72" s="2010"/>
      <c r="R72" s="2010"/>
      <c r="S72" s="2010"/>
      <c r="T72" s="2010"/>
      <c r="U72" s="2010"/>
      <c r="V72" s="2010"/>
    </row>
    <row r="73" spans="1:22" ht="24" customHeight="1">
      <c r="A73" s="3370" t="s">
        <v>411</v>
      </c>
      <c r="B73" s="3338"/>
      <c r="C73" s="3338"/>
      <c r="D73" s="360">
        <f>IF(H73="个人住宅",0,ROUND(D63*I73,0))</f>
        <v>0</v>
      </c>
      <c r="E73" s="17" t="s">
        <v>412</v>
      </c>
      <c r="F73" s="358" t="str">
        <f>IF(H73="正常",I73,"免征")</f>
        <v>免征</v>
      </c>
      <c r="G73" s="359"/>
      <c r="H73" s="191" t="s">
        <v>2452</v>
      </c>
      <c r="I73" s="358">
        <f>'数据-取费表'!B49</f>
        <v>5.0000000000000001E-4</v>
      </c>
      <c r="J73" s="2017"/>
      <c r="K73" s="1958">
        <v>2</v>
      </c>
      <c r="L73" s="3376" t="s">
        <v>410</v>
      </c>
      <c r="M73" s="3376"/>
      <c r="N73" s="1289">
        <f t="shared" ref="N73:P74" si="0">D73</f>
        <v>0</v>
      </c>
      <c r="O73" s="1841" t="str">
        <f t="shared" si="0"/>
        <v>销售额×税（费）率</v>
      </c>
      <c r="P73" s="1290" t="str">
        <f t="shared" si="0"/>
        <v>免征</v>
      </c>
      <c r="Q73" s="2010"/>
      <c r="R73" s="2010"/>
      <c r="S73" s="2010"/>
      <c r="T73" s="2010"/>
      <c r="U73" s="2010"/>
      <c r="V73" s="2010"/>
    </row>
    <row r="74" spans="1:22" ht="24.75">
      <c r="A74" s="3370" t="s">
        <v>415</v>
      </c>
      <c r="B74" s="3338"/>
      <c r="C74" s="3338"/>
      <c r="D74" s="360">
        <f ca="1">IF(H74="个人住宅",D75,D76)</f>
        <v>3690</v>
      </c>
      <c r="E74" s="17" t="s">
        <v>416</v>
      </c>
      <c r="F74" s="358" t="str">
        <f>IF(H74="正常",F76,"免征")</f>
        <v>——</v>
      </c>
      <c r="G74" s="980" t="s">
        <v>417</v>
      </c>
      <c r="H74" s="361" t="s">
        <v>413</v>
      </c>
      <c r="I74" s="42"/>
      <c r="J74" s="2017"/>
      <c r="K74" s="1958">
        <v>3</v>
      </c>
      <c r="L74" s="3376" t="s">
        <v>414</v>
      </c>
      <c r="M74" s="3376"/>
      <c r="N74" s="1289">
        <f t="shared" ca="1" si="0"/>
        <v>3690</v>
      </c>
      <c r="O74" s="1841" t="str">
        <f t="shared" si="0"/>
        <v>增值额×税（费）率</v>
      </c>
      <c r="P74" s="1292" t="str">
        <f t="shared" si="0"/>
        <v>——</v>
      </c>
      <c r="Q74" s="2010"/>
      <c r="R74" s="2010"/>
      <c r="S74" s="2010"/>
      <c r="T74" s="2010"/>
      <c r="U74" s="2010"/>
      <c r="V74" s="2010"/>
    </row>
    <row r="75" spans="1:22" ht="24">
      <c r="A75" s="357" t="s">
        <v>418</v>
      </c>
      <c r="B75" s="3326" t="s">
        <v>419</v>
      </c>
      <c r="C75" s="3356"/>
      <c r="D75" s="362">
        <v>0</v>
      </c>
      <c r="E75" s="41" t="s">
        <v>420</v>
      </c>
      <c r="F75" s="363"/>
      <c r="G75" s="359"/>
      <c r="H75" s="42"/>
      <c r="I75" s="42"/>
      <c r="J75" s="2017"/>
      <c r="K75" s="2999">
        <f>IF(H77="非个人房产","",4)</f>
        <v>4</v>
      </c>
      <c r="L75" s="3376" t="str">
        <f>IF(H77="非个人房产","——","个人所得税")</f>
        <v>个人所得税</v>
      </c>
      <c r="M75" s="3376"/>
      <c r="N75" s="1293">
        <f ca="1">D77</f>
        <v>77</v>
      </c>
      <c r="O75" s="1854" t="str">
        <f>E77</f>
        <v>销售额×税（费）率</v>
      </c>
      <c r="P75" s="1294">
        <f>F77</f>
        <v>0.01</v>
      </c>
      <c r="Q75" s="2010"/>
      <c r="R75" s="2010"/>
      <c r="S75" s="2010"/>
      <c r="T75" s="2010"/>
      <c r="U75" s="2010"/>
      <c r="V75" s="2010"/>
    </row>
    <row r="76" spans="1:22" ht="24.75">
      <c r="A76" s="357" t="s">
        <v>396</v>
      </c>
      <c r="B76" s="3326" t="s">
        <v>422</v>
      </c>
      <c r="C76" s="3327"/>
      <c r="D76" s="360">
        <f ca="1">IF(H76="转让取得",C99,C115)</f>
        <v>3690</v>
      </c>
      <c r="E76" s="17" t="s">
        <v>423</v>
      </c>
      <c r="F76" s="53" t="s">
        <v>21</v>
      </c>
      <c r="G76" s="359"/>
      <c r="H76" s="361" t="s">
        <v>424</v>
      </c>
      <c r="I76" s="42"/>
      <c r="J76" s="2017"/>
      <c r="K76" s="2999" t="str">
        <f>IF(项目基本情况!K6="上海银行",IF(K75="",4,K75+1),"")</f>
        <v/>
      </c>
      <c r="L76" s="3387" t="str">
        <f>IF(项目基本情况!K6="上海银行","其他处置费用","")</f>
        <v/>
      </c>
      <c r="M76" s="3388"/>
      <c r="N76" s="1289" t="str">
        <f>IF(项目基本情况!K6="上海银行",N89,"")</f>
        <v/>
      </c>
      <c r="O76" s="3389" t="str">
        <f>IF(项目基本情况!K6="上海银行","包含处置中涉及的律师、诉讼、拍卖、评估等费用","")</f>
        <v/>
      </c>
      <c r="P76" s="3390"/>
      <c r="Q76" s="2010"/>
      <c r="R76" s="2010"/>
      <c r="S76" s="2010"/>
      <c r="T76" s="2010"/>
      <c r="U76" s="2010"/>
      <c r="V76" s="2010"/>
    </row>
    <row r="77" spans="1:22" ht="26.25" thickBot="1">
      <c r="A77" s="3378" t="s">
        <v>426</v>
      </c>
      <c r="B77" s="3379"/>
      <c r="C77" s="3379"/>
      <c r="D77" s="364">
        <f ca="1">IF(H77="非个人房产","——",IF(H77="个人住宅",0,ROUND(D63*I77,0)))</f>
        <v>77</v>
      </c>
      <c r="E77" s="365" t="str">
        <f>IF(H77="非个人房产","——","销售额×税（费）率")</f>
        <v>销售额×税（费）率</v>
      </c>
      <c r="F77" s="366">
        <f>IF(H77="非个人房产","——",IF(H77="个人住宅","免征",I77))</f>
        <v>0.01</v>
      </c>
      <c r="G77" s="981" t="s">
        <v>417</v>
      </c>
      <c r="H77" s="361" t="s">
        <v>2880</v>
      </c>
      <c r="I77" s="367">
        <v>0.01</v>
      </c>
      <c r="J77" s="2017"/>
      <c r="K77" s="3377">
        <f>IF(AND(K75="",K76=""),4,IF(项目基本情况!K6="上海银行",K76+1,K75+1))</f>
        <v>5</v>
      </c>
      <c r="L77" s="3376" t="s">
        <v>2881</v>
      </c>
      <c r="M77" s="3005" t="s">
        <v>421</v>
      </c>
      <c r="N77" s="1295"/>
      <c r="O77" s="1296">
        <f ca="1">SUMIF(N72:N76,"&lt;9e307")</f>
        <v>4169</v>
      </c>
      <c r="P77" s="1297"/>
      <c r="Q77" s="3003">
        <f ca="1">O77/N69</f>
        <v>0.32631496556042577</v>
      </c>
      <c r="R77" s="2010"/>
      <c r="S77" s="2010"/>
      <c r="T77" s="2010"/>
      <c r="U77" s="2010"/>
      <c r="V77" s="2010"/>
    </row>
    <row r="78" spans="1:22" ht="12" customHeight="1">
      <c r="A78" s="1298"/>
      <c r="B78" s="309"/>
      <c r="C78" s="309"/>
      <c r="D78" s="309"/>
      <c r="E78" s="42"/>
      <c r="F78" s="42"/>
      <c r="G78" s="42"/>
      <c r="H78" s="1000"/>
      <c r="I78" s="309"/>
      <c r="J78" s="2017"/>
      <c r="K78" s="3377"/>
      <c r="L78" s="3376"/>
      <c r="M78" s="3005" t="s">
        <v>425</v>
      </c>
      <c r="N78" s="1295"/>
      <c r="O78" s="1296" t="str">
        <f ca="1">NUMBERSTRING(INT(O77*10000),2)&amp;"元整"</f>
        <v>肆仟壹佰陆拾玖万元整</v>
      </c>
      <c r="P78" s="1297"/>
      <c r="Q78" s="2010"/>
      <c r="R78" s="2010"/>
      <c r="S78" s="2010"/>
      <c r="T78" s="2010"/>
      <c r="U78" s="2010"/>
      <c r="V78" s="2010"/>
    </row>
    <row r="79" spans="1:22" ht="13.5" thickBot="1">
      <c r="A79" s="3371" t="s">
        <v>427</v>
      </c>
      <c r="B79" s="3371"/>
      <c r="C79" s="3371"/>
      <c r="D79" s="3371"/>
      <c r="E79" s="3371"/>
      <c r="F79" s="42"/>
      <c r="G79" s="42"/>
      <c r="H79" s="1000"/>
      <c r="I79" s="309"/>
      <c r="J79" s="2017"/>
      <c r="K79" s="3397">
        <f>K77+1</f>
        <v>6</v>
      </c>
      <c r="L79" s="3376" t="s">
        <v>2882</v>
      </c>
      <c r="M79" s="3005" t="s">
        <v>421</v>
      </c>
      <c r="N79" s="1295"/>
      <c r="O79" s="1296">
        <f ca="1">N69-O77</f>
        <v>8607</v>
      </c>
      <c r="P79" s="1297"/>
      <c r="Q79" s="2010"/>
      <c r="R79" s="2010"/>
      <c r="S79" s="2010"/>
      <c r="T79" s="2010"/>
      <c r="U79" s="2010"/>
      <c r="V79" s="2010"/>
    </row>
    <row r="80" spans="1:22" ht="25.5">
      <c r="A80" s="3366" t="s">
        <v>428</v>
      </c>
      <c r="B80" s="3367"/>
      <c r="C80" s="991"/>
      <c r="D80" s="991" t="s">
        <v>429</v>
      </c>
      <c r="E80" s="368" t="s">
        <v>430</v>
      </c>
      <c r="F80" s="42"/>
      <c r="G80" s="42"/>
      <c r="H80" s="1000"/>
      <c r="I80" s="309"/>
      <c r="J80" s="2010"/>
      <c r="K80" s="3398"/>
      <c r="L80" s="3376"/>
      <c r="M80" s="3005" t="s">
        <v>425</v>
      </c>
      <c r="N80" s="1295"/>
      <c r="O80" s="1296" t="str">
        <f ca="1">NUMBERSTRING(INT(O79*10000),2)&amp;"元整"</f>
        <v>捌仟陆佰零柒万元整</v>
      </c>
      <c r="P80" s="1297"/>
      <c r="Q80" s="2010"/>
      <c r="R80" s="2010"/>
      <c r="S80" s="2010"/>
      <c r="T80" s="2010"/>
      <c r="U80" s="2010"/>
      <c r="V80" s="2010"/>
    </row>
    <row r="81" spans="1:26" ht="13.5" thickBot="1">
      <c r="A81" s="379" t="s">
        <v>1822</v>
      </c>
      <c r="B81" s="369" t="s">
        <v>431</v>
      </c>
      <c r="C81" s="370">
        <f ca="1">ROUND((C82+C83)/(1+'数据-取费表'!C42),0)</f>
        <v>7301</v>
      </c>
      <c r="D81" s="371"/>
      <c r="E81" s="372"/>
      <c r="F81" s="42"/>
      <c r="G81" s="42"/>
      <c r="H81" s="1000"/>
      <c r="I81" s="309"/>
      <c r="J81" s="2010"/>
      <c r="K81" s="2999">
        <f>K79+1</f>
        <v>7</v>
      </c>
      <c r="L81" s="3374" t="s">
        <v>2883</v>
      </c>
      <c r="M81" s="3375"/>
      <c r="N81" s="1299"/>
      <c r="O81" s="1300">
        <f ca="1">ROUND(O79*10000/'数据-汇总表'!E3,0)</f>
        <v>593</v>
      </c>
      <c r="P81" s="1301"/>
      <c r="Q81" s="2010"/>
      <c r="R81" s="2010"/>
      <c r="S81" s="2010"/>
      <c r="T81" s="2010"/>
      <c r="U81" s="2010"/>
      <c r="V81" s="2010"/>
    </row>
    <row r="82" spans="1:26" ht="13.5" thickTop="1">
      <c r="A82" s="373" t="s">
        <v>1823</v>
      </c>
      <c r="B82" s="374" t="s">
        <v>432</v>
      </c>
      <c r="C82" s="375">
        <f ca="1">D63</f>
        <v>7666</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86" t="s">
        <v>2870</v>
      </c>
      <c r="L83" s="3011" t="s">
        <v>2871</v>
      </c>
      <c r="M83" s="3001">
        <f ca="1">IF(N69&gt;10000,N69*0.5%,IF(AND(N69&gt;1000,N69&lt;=10000),N69*1%,IF(AND(N69&gt;100,N69&lt;=1000),N69*3%,IF(AND(N69&gt;10,N69&lt;=100),N69*5%,N69*8%))))</f>
        <v>63.88</v>
      </c>
      <c r="N83" s="53">
        <f ca="1">ROUND(M83,1)</f>
        <v>63.9</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86"/>
      <c r="L84" s="3011" t="s">
        <v>2872</v>
      </c>
      <c r="M84" s="3001">
        <f ca="1">IF(N69&gt;2000,N69*0.5%,IF(AND(N69&gt;1000,N69&lt;=2000),N69*0.6%,IF(AND(N69&gt;500,N69&lt;=1000),N69*0.7%,IF(AND(N69&gt;200,N69&lt;=500),N69*0.8%,IF(AND(N69&gt;100,N69&lt;=200),N69*0.9%,IF(AND(N69&gt;50,N69&lt;=100),N69*1%,IF(AND(N69&gt;20,N69&lt;=50),N69*1.5%,IF(AND(N69&gt;10,N69&lt;=20),N69*2%,IF(AND(N69&gt;1,N69&lt;=10),N69*2.5%)))))))))</f>
        <v>63.88</v>
      </c>
      <c r="N84" s="53">
        <f ca="1">ROUND(M84,1)</f>
        <v>63.9</v>
      </c>
      <c r="O84" s="2010" t="s">
        <v>2873</v>
      </c>
      <c r="P84" s="2010"/>
      <c r="Q84" s="2010"/>
      <c r="R84" s="2010"/>
      <c r="S84" s="2010"/>
      <c r="T84" s="2010"/>
      <c r="U84" s="2010"/>
      <c r="V84" s="2010"/>
    </row>
    <row r="85" spans="1:26" ht="12.75">
      <c r="A85" s="379" t="s">
        <v>1826</v>
      </c>
      <c r="B85" s="380" t="s">
        <v>435</v>
      </c>
      <c r="C85" s="383">
        <f ca="1">C81-C84</f>
        <v>5301</v>
      </c>
      <c r="D85" s="376" t="s">
        <v>19</v>
      </c>
      <c r="E85" s="377"/>
      <c r="F85" s="42"/>
      <c r="G85" s="42"/>
      <c r="H85" s="1000"/>
      <c r="I85" s="309"/>
      <c r="J85" s="2010"/>
      <c r="K85" s="3386"/>
      <c r="L85" s="3011" t="s">
        <v>2874</v>
      </c>
      <c r="M85" s="3001">
        <f ca="1">IF(N69&gt;1000,N69*0.1%,IF(AND(N69&gt;500,N69&lt;=1000),N69*0.5%,IF(AND(N69&gt;50,N69&lt;=500),N69*1%,IF(AND(N69&gt;1,N69&lt;=50),N69*1.5%))))</f>
        <v>12.776</v>
      </c>
      <c r="N85" s="53">
        <f ca="1">ROUND(M85,1)</f>
        <v>12.8</v>
      </c>
      <c r="O85" s="2010" t="s">
        <v>2873</v>
      </c>
      <c r="P85" s="2010"/>
      <c r="Q85" s="2010"/>
      <c r="R85" s="2010"/>
      <c r="S85" s="2010"/>
      <c r="T85" s="2010"/>
      <c r="U85" s="2010"/>
      <c r="V85" s="2010"/>
    </row>
    <row r="86" spans="1:26" ht="13.5" thickBot="1">
      <c r="A86" s="384" t="s">
        <v>1827</v>
      </c>
      <c r="B86" s="385" t="s">
        <v>436</v>
      </c>
      <c r="C86" s="386">
        <f ca="1">IF(C85&lt;=0,0,ROUND(C85*D86,0))</f>
        <v>292</v>
      </c>
      <c r="D86" s="387">
        <f>'数据-取费表'!B41</f>
        <v>5.5000000000000007E-2</v>
      </c>
      <c r="E86" s="388"/>
      <c r="F86" s="42"/>
      <c r="G86" s="42"/>
      <c r="H86" s="1000"/>
      <c r="I86" s="309"/>
      <c r="J86" s="2010"/>
      <c r="K86" s="3386"/>
      <c r="L86" s="3011" t="s">
        <v>2875</v>
      </c>
      <c r="M86" s="3001">
        <f ca="1">N69*0.5%</f>
        <v>63.88</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86"/>
      <c r="L87" s="3011" t="s">
        <v>2877</v>
      </c>
      <c r="M87" s="3001">
        <f ca="1">IF(N69&gt;=10000,(8.25+(N69-10000)*0.01%),IF(AND(N69&gt;=8000,N69&lt;10000),(7.85+(N69-8000)*0.02%),IF(AND(N69&gt;=5000,N69&lt;8000),(6.65+(N69-5000)*0.04%),IF(AND(N69&gt;=2000,N69&lt;5000),(4.25+(PN69-2000)*0.08%),IF(AND(N69&gt;=1000,N69&lt;2000),(2.75+(N69-1000)*0.15%),IF(AND(N69&gt;=100,N69&lt;1000),(0.5+(N69-100)*0.25%),IF(AND(N69&gt;0,N69&lt;100),N69*0.5%)))))))</f>
        <v>8.5275999999999996</v>
      </c>
      <c r="N87" s="53">
        <f ca="1">ROUND(M87*0.9,1)</f>
        <v>7.7</v>
      </c>
      <c r="O87" s="3004"/>
      <c r="P87" s="309"/>
      <c r="Q87" s="2010"/>
      <c r="R87" s="2010"/>
      <c r="S87" s="2010"/>
      <c r="T87" s="2010"/>
      <c r="U87" s="2010"/>
      <c r="V87" s="2010"/>
      <c r="W87" s="290"/>
      <c r="X87" s="290"/>
      <c r="Y87" s="290"/>
      <c r="Z87" s="290"/>
    </row>
    <row r="88" spans="1:26" s="1307" customFormat="1" ht="15" thickBot="1">
      <c r="A88" s="3368" t="s">
        <v>437</v>
      </c>
      <c r="B88" s="3369"/>
      <c r="C88" s="3369"/>
      <c r="D88" s="3369"/>
      <c r="E88" s="3369"/>
      <c r="F88" s="3369"/>
      <c r="G88" s="3369"/>
      <c r="H88" s="3369"/>
      <c r="I88" s="1308"/>
      <c r="J88" s="2018"/>
      <c r="K88" s="3386"/>
      <c r="L88" s="3011" t="s">
        <v>2878</v>
      </c>
      <c r="M88" s="3001">
        <f ca="1">IF(N69&gt;10000,N69*0.5%,IF(AND(N69&gt;5000,N69&lt;=10000),N69*1%,IF(AND(N69&gt;1000,N69&lt;=5000),N69*2%,IF(AND(N69&gt;200,N69&lt;=1000),N69*3%,N69*5%))))</f>
        <v>63.88</v>
      </c>
      <c r="N88" s="53">
        <f ca="1">ROUND(M88,1)</f>
        <v>63.9</v>
      </c>
      <c r="O88" s="3004"/>
      <c r="P88" s="11"/>
      <c r="Q88" s="2015"/>
      <c r="R88" s="2015"/>
      <c r="S88" s="2015"/>
      <c r="T88" s="2015"/>
      <c r="U88" s="2015"/>
      <c r="V88" s="2015"/>
      <c r="W88" s="2019"/>
      <c r="X88" s="2019"/>
      <c r="Y88" s="2019"/>
      <c r="Z88" s="2019"/>
    </row>
    <row r="89" spans="1:26" s="1307" customFormat="1" ht="14.25">
      <c r="A89" s="3366" t="s">
        <v>428</v>
      </c>
      <c r="B89" s="3367"/>
      <c r="C89" s="991"/>
      <c r="D89" s="991" t="s">
        <v>429</v>
      </c>
      <c r="E89" s="389" t="s">
        <v>438</v>
      </c>
      <c r="F89" s="390"/>
      <c r="G89" s="390"/>
      <c r="H89" s="391"/>
      <c r="I89" s="1309"/>
      <c r="J89" s="2020"/>
      <c r="K89" s="3386"/>
      <c r="L89" s="3011" t="s">
        <v>27</v>
      </c>
      <c r="M89" s="3002"/>
      <c r="N89" s="53">
        <f ca="1">ROUND(SUM(N83:N88),0)</f>
        <v>213</v>
      </c>
      <c r="O89" s="3012">
        <f ca="1">N89/N69</f>
        <v>1.6671884783969942E-2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7301</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2598</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29" t="s">
        <v>447</v>
      </c>
      <c r="F94" s="3328"/>
      <c r="G94" s="3328"/>
      <c r="H94" s="3365"/>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37</v>
      </c>
      <c r="D96" s="404">
        <f>'数据-取费表'!B43</f>
        <v>5.000000000000001E-3</v>
      </c>
      <c r="E96" s="3357" t="s">
        <v>2425</v>
      </c>
      <c r="F96" s="3358"/>
      <c r="G96" s="3358"/>
      <c r="H96" s="3359"/>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4703</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1.8102386451116244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1962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8" t="s">
        <v>454</v>
      </c>
      <c r="B101" s="3369"/>
      <c r="C101" s="3369"/>
      <c r="D101" s="3369"/>
      <c r="E101" s="3369"/>
      <c r="F101" s="3369"/>
      <c r="G101" s="3369"/>
      <c r="H101" s="3369"/>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66" t="s">
        <v>428</v>
      </c>
      <c r="B102" s="3367"/>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7301</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60" t="s">
        <v>462</v>
      </c>
      <c r="F109" s="3358"/>
      <c r="G109" s="3358"/>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60" t="s">
        <v>464</v>
      </c>
      <c r="F110" s="3358"/>
      <c r="G110" s="3358"/>
      <c r="H110" s="3359"/>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37</v>
      </c>
      <c r="D111" s="404">
        <f>'数据-取费表'!B43</f>
        <v>5.000000000000001E-3</v>
      </c>
      <c r="E111" s="3357" t="s">
        <v>2425</v>
      </c>
      <c r="F111" s="3358"/>
      <c r="G111" s="3358"/>
      <c r="H111" s="3359"/>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60" t="s">
        <v>2450</v>
      </c>
      <c r="F112" s="3358"/>
      <c r="G112" s="3358"/>
      <c r="H112" s="3359"/>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6574</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9.0426409903713889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3690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70" zoomScaleNormal="95" zoomScaleSheetLayoutView="70" workbookViewId="0">
      <selection activeCell="F29" sqref="F29"/>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12463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859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1824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122</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11" t="s">
        <v>522</v>
      </c>
      <c r="D6" s="3412"/>
      <c r="E6" s="3411" t="s">
        <v>523</v>
      </c>
      <c r="F6" s="3412"/>
      <c r="G6" s="3411" t="s">
        <v>524</v>
      </c>
      <c r="H6" s="3412"/>
      <c r="I6" s="3411" t="s">
        <v>525</v>
      </c>
      <c r="J6" s="3412"/>
      <c r="K6" s="512" t="s">
        <v>526</v>
      </c>
      <c r="L6" s="2115"/>
      <c r="M6" s="2114"/>
      <c r="N6" s="2114"/>
      <c r="O6" s="2116"/>
      <c r="P6" s="3413" t="s">
        <v>527</v>
      </c>
      <c r="Q6" s="3414"/>
      <c r="R6" s="3419" t="s">
        <v>523</v>
      </c>
      <c r="S6" s="3420"/>
      <c r="T6" s="3419" t="s">
        <v>524</v>
      </c>
      <c r="U6" s="3420"/>
      <c r="V6" s="3406" t="s">
        <v>525</v>
      </c>
      <c r="W6" s="3406"/>
      <c r="X6" s="1550"/>
      <c r="Y6" s="3419" t="s">
        <v>527</v>
      </c>
      <c r="Z6" s="3420"/>
      <c r="AA6" s="3408" t="s">
        <v>523</v>
      </c>
      <c r="AB6" s="3409" t="s">
        <v>524</v>
      </c>
      <c r="AC6" s="3408" t="s">
        <v>525</v>
      </c>
    </row>
    <row r="7" spans="1:30" ht="20.25">
      <c r="A7" s="513"/>
      <c r="B7" s="514"/>
      <c r="C7" s="3427" t="s">
        <v>2927</v>
      </c>
      <c r="D7" s="3428"/>
      <c r="E7" s="3427" t="str">
        <f>Sheet3!A3</f>
        <v>紫金花园南1-02区块</v>
      </c>
      <c r="F7" s="3428"/>
      <c r="G7" s="3427" t="str">
        <f>Sheet3!A6</f>
        <v>南环路南,栖凤路西</v>
      </c>
      <c r="H7" s="3428"/>
      <c r="I7" s="3427" t="str">
        <f>Sheet3!A9</f>
        <v>中阳大道南,东环路东</v>
      </c>
      <c r="J7" s="3428"/>
      <c r="K7" s="512"/>
      <c r="L7" s="2115"/>
      <c r="M7" s="2114"/>
      <c r="N7" s="2114"/>
      <c r="O7" s="2116"/>
      <c r="P7" s="3415"/>
      <c r="Q7" s="3416"/>
      <c r="R7" s="3421"/>
      <c r="S7" s="3422"/>
      <c r="T7" s="3421"/>
      <c r="U7" s="3422"/>
      <c r="V7" s="3406"/>
      <c r="W7" s="3406"/>
      <c r="X7" s="1550"/>
      <c r="Y7" s="3421"/>
      <c r="Z7" s="3422"/>
      <c r="AA7" s="3409"/>
      <c r="AB7" s="3409"/>
      <c r="AC7" s="3409"/>
    </row>
    <row r="8" spans="1:30" ht="21" thickBot="1">
      <c r="A8" s="513"/>
      <c r="B8" s="514"/>
      <c r="C8" s="3429" t="s">
        <v>2931</v>
      </c>
      <c r="D8" s="3430"/>
      <c r="E8" s="3429" t="s">
        <v>2931</v>
      </c>
      <c r="F8" s="3430"/>
      <c r="G8" s="3425" t="s">
        <v>2931</v>
      </c>
      <c r="H8" s="3426"/>
      <c r="I8" s="3425" t="s">
        <v>2931</v>
      </c>
      <c r="J8" s="3426"/>
      <c r="K8" s="512" t="s">
        <v>528</v>
      </c>
      <c r="L8" s="2115"/>
      <c r="M8" s="2114"/>
      <c r="N8" s="2114"/>
      <c r="O8" s="2116"/>
      <c r="P8" s="3417"/>
      <c r="Q8" s="3418"/>
      <c r="R8" s="3421"/>
      <c r="S8" s="3422"/>
      <c r="T8" s="3423"/>
      <c r="U8" s="3424"/>
      <c r="V8" s="3406"/>
      <c r="W8" s="3406"/>
      <c r="X8" s="1550"/>
      <c r="Y8" s="3423"/>
      <c r="Z8" s="3424"/>
      <c r="AA8" s="3410"/>
      <c r="AB8" s="3410"/>
      <c r="AC8" s="3410"/>
    </row>
    <row r="9" spans="1:30" s="1213" customFormat="1" ht="21" thickBot="1">
      <c r="A9" s="2863"/>
      <c r="B9" s="2870" t="s">
        <v>529</v>
      </c>
      <c r="C9" s="2862">
        <f>'数据-取费表'!B2</f>
        <v>43935</v>
      </c>
      <c r="D9" s="518">
        <v>100</v>
      </c>
      <c r="E9" s="519" t="str">
        <f>Sheet3!H3</f>
        <v>2020-02-13</v>
      </c>
      <c r="F9" s="520">
        <f>SUMIF(72:72,YEAR(E9)&amp;"-"&amp;INT((MONTH(E9)+2)/3),73:73)</f>
        <v>99.5</v>
      </c>
      <c r="G9" s="521" t="str">
        <f>Sheet3!H6</f>
        <v>2019-12-20</v>
      </c>
      <c r="H9" s="518">
        <f>SUMIF(72:72,YEAR(G9)&amp;"-"&amp;INT((MONTH(G9)+2)/3),73:73)</f>
        <v>99</v>
      </c>
      <c r="I9" s="521" t="str">
        <f>Sheet3!H9</f>
        <v>2019-12-20</v>
      </c>
      <c r="J9" s="518">
        <f>SUMIF(72:72,YEAR(I9)&amp;"-"&amp;INT((MONTH(I9)+2)/3),73:73)</f>
        <v>99</v>
      </c>
      <c r="K9" s="522"/>
      <c r="L9" s="2117"/>
      <c r="M9" s="2114"/>
      <c r="N9" s="2114"/>
      <c r="O9" s="2118"/>
      <c r="P9" s="3436" t="s">
        <v>530</v>
      </c>
      <c r="Q9" s="3438"/>
      <c r="R9" s="1551" t="s">
        <v>8</v>
      </c>
      <c r="S9" s="1552">
        <f t="shared" ref="S9:S17" si="0">F9</f>
        <v>99.5</v>
      </c>
      <c r="T9" s="1551" t="s">
        <v>8</v>
      </c>
      <c r="U9" s="1552">
        <f t="shared" ref="U9:U17" si="1">H9</f>
        <v>99</v>
      </c>
      <c r="V9" s="1551" t="s">
        <v>8</v>
      </c>
      <c r="W9" s="1552">
        <f t="shared" ref="W9:W17" si="2">J9</f>
        <v>99</v>
      </c>
      <c r="X9" s="1553"/>
      <c r="Y9" s="3436" t="s">
        <v>530</v>
      </c>
      <c r="Z9" s="3437"/>
      <c r="AA9" s="1554">
        <f>D9/F9</f>
        <v>1.0050251256281406</v>
      </c>
      <c r="AB9" s="1554">
        <f>D9/H9</f>
        <v>1.0101010101010102</v>
      </c>
      <c r="AC9" s="1554">
        <f>D9/J9</f>
        <v>1.0101010101010102</v>
      </c>
    </row>
    <row r="10" spans="1:30" s="1213" customFormat="1" ht="21" thickBot="1">
      <c r="A10" s="2864"/>
      <c r="B10" s="2871" t="s">
        <v>531</v>
      </c>
      <c r="C10" s="854" t="s">
        <v>532</v>
      </c>
      <c r="D10" s="518">
        <v>100</v>
      </c>
      <c r="E10" s="3182" t="s">
        <v>3129</v>
      </c>
      <c r="F10" s="520">
        <f>SUMIF(75:75,E10,76:76)-SUMIF(75:75,C10,76:76)+100</f>
        <v>100</v>
      </c>
      <c r="G10" s="3182" t="s">
        <v>3130</v>
      </c>
      <c r="H10" s="518">
        <f>SUMIF(75:75,G10,76:76)-SUMIF(75:75,C10,76:76)+100</f>
        <v>100</v>
      </c>
      <c r="I10" s="3182" t="s">
        <v>3129</v>
      </c>
      <c r="J10" s="518">
        <f>SUMIF(75:75,I10,76:76)-SUMIF(75:75,C10,76:76)+100</f>
        <v>100</v>
      </c>
      <c r="K10" s="522"/>
      <c r="L10" s="2117"/>
      <c r="M10" s="2114"/>
      <c r="N10" s="2114"/>
      <c r="O10" s="2118"/>
      <c r="P10" s="3436" t="s">
        <v>533</v>
      </c>
      <c r="Q10" s="3437"/>
      <c r="R10" s="1551" t="s">
        <v>8</v>
      </c>
      <c r="S10" s="1552">
        <f t="shared" si="0"/>
        <v>100</v>
      </c>
      <c r="T10" s="1551" t="s">
        <v>8</v>
      </c>
      <c r="U10" s="1552">
        <f t="shared" si="1"/>
        <v>100</v>
      </c>
      <c r="V10" s="1551" t="s">
        <v>8</v>
      </c>
      <c r="W10" s="1552">
        <f t="shared" si="2"/>
        <v>100</v>
      </c>
      <c r="X10" s="1553"/>
      <c r="Y10" s="3436" t="s">
        <v>533</v>
      </c>
      <c r="Z10" s="3437"/>
      <c r="AA10" s="1554">
        <f t="shared" ref="AA10:AA47" si="3">D10/F10</f>
        <v>1</v>
      </c>
      <c r="AB10" s="1554">
        <f t="shared" ref="AB10:AB47" si="4">D10/H10</f>
        <v>1</v>
      </c>
      <c r="AC10" s="1554">
        <f t="shared" ref="AC10:AC47" si="5">D10/J10</f>
        <v>1</v>
      </c>
    </row>
    <row r="11" spans="1:30" s="1213" customFormat="1" ht="20.25">
      <c r="A11" s="2865"/>
      <c r="B11" s="2872" t="s">
        <v>2752</v>
      </c>
      <c r="C11" s="3183" t="s">
        <v>3132</v>
      </c>
      <c r="D11" s="252">
        <v>100</v>
      </c>
      <c r="E11" s="3184" t="s">
        <v>3131</v>
      </c>
      <c r="F11" s="252">
        <f>SUMIF(77:77,E11,78:78)-SUMIF(77:77,C11,78:78)+100</f>
        <v>100</v>
      </c>
      <c r="G11" s="3184" t="s">
        <v>3131</v>
      </c>
      <c r="H11" s="252">
        <f>SUMIF(77:77,G11,78:78)-SUMIF(77:77,C11,78:78)+100</f>
        <v>100</v>
      </c>
      <c r="I11" s="3184" t="s">
        <v>3131</v>
      </c>
      <c r="J11" s="252">
        <f>SUMIF(77:77,I11,78:78)-SUMIF(77:77,C11,78:78)+100</f>
        <v>100</v>
      </c>
      <c r="K11" s="522"/>
      <c r="L11" s="2117"/>
      <c r="M11" s="2114"/>
      <c r="N11" s="2114"/>
      <c r="O11" s="2119"/>
      <c r="P11" s="3405" t="s">
        <v>535</v>
      </c>
      <c r="Q11" s="1144" t="str">
        <f t="shared" ref="Q11:Q17" si="6">B11</f>
        <v>用途</v>
      </c>
      <c r="R11" s="1551" t="s">
        <v>8</v>
      </c>
      <c r="S11" s="1552">
        <f t="shared" si="0"/>
        <v>100</v>
      </c>
      <c r="T11" s="1551" t="s">
        <v>8</v>
      </c>
      <c r="U11" s="1552">
        <f t="shared" si="1"/>
        <v>100</v>
      </c>
      <c r="V11" s="1551" t="s">
        <v>8</v>
      </c>
      <c r="W11" s="1552">
        <f t="shared" si="2"/>
        <v>100</v>
      </c>
      <c r="X11" s="1553"/>
      <c r="Y11" s="3351"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405"/>
      <c r="Q12" s="1144" t="str">
        <f t="shared" si="6"/>
        <v>土地使用年限（年）</v>
      </c>
      <c r="R12" s="1551" t="s">
        <v>8</v>
      </c>
      <c r="S12" s="1552">
        <f t="shared" si="0"/>
        <v>101</v>
      </c>
      <c r="T12" s="1551" t="s">
        <v>8</v>
      </c>
      <c r="U12" s="1552">
        <f t="shared" si="1"/>
        <v>101</v>
      </c>
      <c r="V12" s="1551" t="s">
        <v>8</v>
      </c>
      <c r="W12" s="1552">
        <f t="shared" si="2"/>
        <v>101</v>
      </c>
      <c r="X12" s="1553"/>
      <c r="Y12" s="3351"/>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f>'数据-汇总表'!I7</f>
        <v>1.94</v>
      </c>
      <c r="D13" s="253">
        <v>100</v>
      </c>
      <c r="E13" s="531">
        <v>2.2000000000000002</v>
      </c>
      <c r="F13" s="253">
        <f>LOOKUP(E13,82:82,83:83)-LOOKUP(C13,82:82,83:83)+100</f>
        <v>98</v>
      </c>
      <c r="G13" s="532">
        <v>2</v>
      </c>
      <c r="H13" s="253">
        <f>LOOKUP(G13,82:82,83:83)-LOOKUP(C13,82:82,83:83)+100</f>
        <v>98</v>
      </c>
      <c r="I13" s="531">
        <v>2</v>
      </c>
      <c r="J13" s="253">
        <f>LOOKUP(I13,82:82,83:83)-LOOKUP(C13,82:82,83:83)+100</f>
        <v>98</v>
      </c>
      <c r="K13" s="533">
        <v>2</v>
      </c>
      <c r="L13" s="2122"/>
      <c r="M13" s="2114"/>
      <c r="N13" s="2114"/>
      <c r="O13" s="2123"/>
      <c r="P13" s="3405"/>
      <c r="Q13" s="1144" t="str">
        <f t="shared" si="6"/>
        <v>容积率</v>
      </c>
      <c r="R13" s="1551" t="s">
        <v>8</v>
      </c>
      <c r="S13" s="1552">
        <f t="shared" si="0"/>
        <v>98</v>
      </c>
      <c r="T13" s="1551" t="s">
        <v>8</v>
      </c>
      <c r="U13" s="1552">
        <f t="shared" si="1"/>
        <v>98</v>
      </c>
      <c r="V13" s="1551" t="s">
        <v>8</v>
      </c>
      <c r="W13" s="1552">
        <f t="shared" si="2"/>
        <v>98</v>
      </c>
      <c r="X13" s="1553"/>
      <c r="Y13" s="3351"/>
      <c r="Z13" s="1143" t="str">
        <f t="shared" si="7"/>
        <v>容积率</v>
      </c>
      <c r="AA13" s="1554">
        <f t="shared" si="3"/>
        <v>1.0204081632653061</v>
      </c>
      <c r="AB13" s="1554">
        <f t="shared" si="4"/>
        <v>1.0204081632653061</v>
      </c>
      <c r="AC13" s="1554">
        <f t="shared" si="5"/>
        <v>1.0204081632653061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405"/>
      <c r="Q14" s="1144" t="str">
        <f t="shared" si="6"/>
        <v>配建</v>
      </c>
      <c r="R14" s="1551" t="s">
        <v>8</v>
      </c>
      <c r="S14" s="1552">
        <f t="shared" si="0"/>
        <v>100</v>
      </c>
      <c r="T14" s="1551" t="s">
        <v>8</v>
      </c>
      <c r="U14" s="1552">
        <f t="shared" si="1"/>
        <v>100</v>
      </c>
      <c r="V14" s="1551" t="s">
        <v>8</v>
      </c>
      <c r="W14" s="1552">
        <f t="shared" si="2"/>
        <v>100</v>
      </c>
      <c r="X14" s="1553"/>
      <c r="Y14" s="3351"/>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05"/>
      <c r="Q15" s="1144">
        <f t="shared" si="6"/>
        <v>111</v>
      </c>
      <c r="R15" s="1551" t="s">
        <v>8</v>
      </c>
      <c r="S15" s="1552">
        <f t="shared" si="0"/>
        <v>100</v>
      </c>
      <c r="T15" s="1551" t="s">
        <v>8</v>
      </c>
      <c r="U15" s="1552">
        <f t="shared" si="1"/>
        <v>100</v>
      </c>
      <c r="V15" s="1551" t="s">
        <v>8</v>
      </c>
      <c r="W15" s="1552">
        <f t="shared" si="2"/>
        <v>100</v>
      </c>
      <c r="X15" s="1553"/>
      <c r="Y15" s="3351"/>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05"/>
      <c r="Q16" s="1144">
        <f t="shared" si="6"/>
        <v>111</v>
      </c>
      <c r="R16" s="1551" t="s">
        <v>8</v>
      </c>
      <c r="S16" s="1552">
        <f t="shared" si="0"/>
        <v>100</v>
      </c>
      <c r="T16" s="1551" t="s">
        <v>8</v>
      </c>
      <c r="U16" s="1552">
        <f t="shared" si="1"/>
        <v>100</v>
      </c>
      <c r="V16" s="1551" t="s">
        <v>8</v>
      </c>
      <c r="W16" s="1552">
        <f t="shared" si="2"/>
        <v>100</v>
      </c>
      <c r="X16" s="1553"/>
      <c r="Y16" s="3351"/>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105</v>
      </c>
      <c r="I17" s="550"/>
      <c r="J17" s="547">
        <f>SUMIF(90:90,I18,91:91)-SUMIF(90:90,C18,91:91)+100</f>
        <v>105</v>
      </c>
      <c r="K17" s="533">
        <v>5</v>
      </c>
      <c r="L17" s="2124"/>
      <c r="M17" s="2114"/>
      <c r="N17" s="2114"/>
      <c r="O17" s="2123"/>
      <c r="P17" s="3439" t="s">
        <v>540</v>
      </c>
      <c r="Q17" s="1555" t="str">
        <f t="shared" si="6"/>
        <v>居住社区成熟度</v>
      </c>
      <c r="R17" s="1556" t="s">
        <v>8</v>
      </c>
      <c r="S17" s="1557">
        <f t="shared" si="0"/>
        <v>105</v>
      </c>
      <c r="T17" s="1556" t="s">
        <v>8</v>
      </c>
      <c r="U17" s="1557">
        <f t="shared" si="1"/>
        <v>105</v>
      </c>
      <c r="V17" s="1556" t="s">
        <v>8</v>
      </c>
      <c r="W17" s="1557">
        <f t="shared" si="2"/>
        <v>105</v>
      </c>
      <c r="X17" s="1550"/>
      <c r="Y17" s="3439" t="s">
        <v>540</v>
      </c>
      <c r="Z17" s="1558" t="str">
        <f t="shared" si="7"/>
        <v>居住社区成熟度</v>
      </c>
      <c r="AA17" s="1559">
        <f t="shared" si="3"/>
        <v>0.95238095238095233</v>
      </c>
      <c r="AB17" s="1559">
        <f t="shared" si="4"/>
        <v>0.95238095238095233</v>
      </c>
      <c r="AC17" s="1559">
        <f t="shared" si="5"/>
        <v>0.95238095238095233</v>
      </c>
    </row>
    <row r="18" spans="1:29" ht="20.25">
      <c r="A18" s="530"/>
      <c r="B18" s="551"/>
      <c r="C18" s="3185" t="s">
        <v>3133</v>
      </c>
      <c r="D18" s="555"/>
      <c r="E18" s="3186" t="s">
        <v>3138</v>
      </c>
      <c r="F18" s="553"/>
      <c r="G18" s="3187" t="s">
        <v>3138</v>
      </c>
      <c r="H18" s="557"/>
      <c r="I18" s="3186" t="s">
        <v>3138</v>
      </c>
      <c r="J18" s="553"/>
      <c r="K18" s="529"/>
      <c r="L18" s="2124"/>
      <c r="M18" s="2114"/>
      <c r="N18" s="2114"/>
      <c r="O18" s="2123"/>
      <c r="P18" s="3440"/>
      <c r="Q18" s="1555"/>
      <c r="R18" s="1556"/>
      <c r="S18" s="1557"/>
      <c r="T18" s="1556"/>
      <c r="U18" s="1557"/>
      <c r="V18" s="1556"/>
      <c r="W18" s="1557"/>
      <c r="X18" s="1550"/>
      <c r="Y18" s="3440"/>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40"/>
      <c r="Q19" s="1555" t="str">
        <f>B19</f>
        <v>商业繁华度</v>
      </c>
      <c r="R19" s="1556" t="s">
        <v>8</v>
      </c>
      <c r="S19" s="1557">
        <f>F19</f>
        <v>100</v>
      </c>
      <c r="T19" s="1556" t="s">
        <v>8</v>
      </c>
      <c r="U19" s="1557">
        <f>H19</f>
        <v>100</v>
      </c>
      <c r="V19" s="1556" t="s">
        <v>8</v>
      </c>
      <c r="W19" s="1557">
        <f>J19</f>
        <v>100</v>
      </c>
      <c r="X19" s="1550"/>
      <c r="Y19" s="3440"/>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40"/>
      <c r="Q20" s="1555"/>
      <c r="R20" s="1556"/>
      <c r="S20" s="1557"/>
      <c r="T20" s="1556"/>
      <c r="U20" s="1557"/>
      <c r="V20" s="1556"/>
      <c r="W20" s="1557"/>
      <c r="X20" s="1550"/>
      <c r="Y20" s="3440"/>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40"/>
      <c r="Q21" s="1555" t="str">
        <f>B21</f>
        <v>办公集聚程度</v>
      </c>
      <c r="R21" s="1556" t="s">
        <v>8</v>
      </c>
      <c r="S21" s="1557">
        <f>F21</f>
        <v>100</v>
      </c>
      <c r="T21" s="1556" t="s">
        <v>8</v>
      </c>
      <c r="U21" s="1557">
        <f>H21</f>
        <v>100</v>
      </c>
      <c r="V21" s="1556" t="s">
        <v>8</v>
      </c>
      <c r="W21" s="1557">
        <f>J21</f>
        <v>100</v>
      </c>
      <c r="X21" s="1550"/>
      <c r="Y21" s="344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40"/>
      <c r="Q22" s="1555"/>
      <c r="R22" s="1556"/>
      <c r="S22" s="1557"/>
      <c r="T22" s="1556"/>
      <c r="U22" s="1557"/>
      <c r="V22" s="1556"/>
      <c r="W22" s="1557"/>
      <c r="X22" s="1550"/>
      <c r="Y22" s="3440"/>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102</v>
      </c>
      <c r="G23" s="560"/>
      <c r="H23" s="557">
        <f>SUMIF(96:96,G24,97:97)-SUMIF(96:96,C24,97:97)+100</f>
        <v>102</v>
      </c>
      <c r="I23" s="562"/>
      <c r="J23" s="557">
        <f>SUMIF(96:96,I24,97:97)-SUMIF(96:96,C24,97:97)+100</f>
        <v>102</v>
      </c>
      <c r="K23" s="533">
        <v>2</v>
      </c>
      <c r="L23" s="2124"/>
      <c r="M23" s="2114"/>
      <c r="N23" s="2114"/>
      <c r="O23" s="2123"/>
      <c r="P23" s="3440"/>
      <c r="Q23" s="1555" t="str">
        <f>B23</f>
        <v>交通便捷度</v>
      </c>
      <c r="R23" s="1556" t="s">
        <v>8</v>
      </c>
      <c r="S23" s="1557">
        <f>F23</f>
        <v>102</v>
      </c>
      <c r="T23" s="1556" t="s">
        <v>8</v>
      </c>
      <c r="U23" s="1557">
        <f>H23</f>
        <v>102</v>
      </c>
      <c r="V23" s="1556" t="s">
        <v>8</v>
      </c>
      <c r="W23" s="1557">
        <f>J23</f>
        <v>102</v>
      </c>
      <c r="X23" s="1550"/>
      <c r="Y23" s="3440"/>
      <c r="Z23" s="1558" t="str">
        <f>Q23</f>
        <v>交通便捷度</v>
      </c>
      <c r="AA23" s="1559">
        <f t="shared" si="3"/>
        <v>0.98039215686274506</v>
      </c>
      <c r="AB23" s="1559">
        <f t="shared" si="4"/>
        <v>0.98039215686274506</v>
      </c>
      <c r="AC23" s="1559">
        <f t="shared" si="5"/>
        <v>0.98039215686274506</v>
      </c>
    </row>
    <row r="24" spans="1:29" ht="20.25">
      <c r="A24" s="530"/>
      <c r="B24" s="576"/>
      <c r="C24" s="3185" t="s">
        <v>3197</v>
      </c>
      <c r="D24" s="555"/>
      <c r="E24" s="3186" t="s">
        <v>3138</v>
      </c>
      <c r="F24" s="553"/>
      <c r="G24" s="3187" t="s">
        <v>3138</v>
      </c>
      <c r="H24" s="553"/>
      <c r="I24" s="3186" t="s">
        <v>3138</v>
      </c>
      <c r="J24" s="553"/>
      <c r="K24" s="529"/>
      <c r="L24" s="2124"/>
      <c r="M24" s="2114"/>
      <c r="N24" s="2114"/>
      <c r="O24" s="2123"/>
      <c r="P24" s="3440"/>
      <c r="Q24" s="1555"/>
      <c r="R24" s="1556"/>
      <c r="S24" s="1557"/>
      <c r="T24" s="1556"/>
      <c r="U24" s="1557"/>
      <c r="V24" s="1556"/>
      <c r="W24" s="1557"/>
      <c r="X24" s="1550"/>
      <c r="Y24" s="3440"/>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440"/>
      <c r="Q25" s="1555" t="str">
        <f t="shared" ref="Q25:Q39" si="8">B25</f>
        <v>区域土地利用方向</v>
      </c>
      <c r="R25" s="1556" t="s">
        <v>8</v>
      </c>
      <c r="S25" s="1557">
        <f>F25</f>
        <v>100</v>
      </c>
      <c r="T25" s="1556" t="s">
        <v>8</v>
      </c>
      <c r="U25" s="1557">
        <f>H25</f>
        <v>100</v>
      </c>
      <c r="V25" s="1556" t="s">
        <v>8</v>
      </c>
      <c r="W25" s="1557">
        <f>J25</f>
        <v>100</v>
      </c>
      <c r="X25" s="1550"/>
      <c r="Y25" s="3440"/>
      <c r="Z25" s="1558" t="str">
        <f>Q25</f>
        <v>区域土地利用方向</v>
      </c>
      <c r="AA25" s="1559">
        <f t="shared" si="3"/>
        <v>1</v>
      </c>
      <c r="AB25" s="1559">
        <f t="shared" si="4"/>
        <v>1</v>
      </c>
      <c r="AC25" s="1559">
        <f t="shared" si="5"/>
        <v>1</v>
      </c>
    </row>
    <row r="26" spans="1:29" ht="20.25">
      <c r="A26" s="513"/>
      <c r="B26" s="1004"/>
      <c r="C26" s="3185" t="s">
        <v>3138</v>
      </c>
      <c r="D26" s="555"/>
      <c r="E26" s="3186" t="s">
        <v>3138</v>
      </c>
      <c r="F26" s="553"/>
      <c r="G26" s="3187" t="s">
        <v>3138</v>
      </c>
      <c r="H26" s="553"/>
      <c r="I26" s="3186" t="s">
        <v>3138</v>
      </c>
      <c r="J26" s="553"/>
      <c r="K26" s="529"/>
      <c r="L26" s="2124"/>
      <c r="M26" s="2114"/>
      <c r="N26" s="2114"/>
      <c r="O26" s="2123"/>
      <c r="P26" s="3440"/>
      <c r="Q26" s="1555"/>
      <c r="R26" s="1556"/>
      <c r="S26" s="1557"/>
      <c r="T26" s="1556"/>
      <c r="U26" s="1557"/>
      <c r="V26" s="1556"/>
      <c r="W26" s="1557"/>
      <c r="X26" s="1550"/>
      <c r="Y26" s="3440"/>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102</v>
      </c>
      <c r="I27" s="562"/>
      <c r="J27" s="557">
        <f>SUMIF(100:100,I28,101:101)-SUMIF(100:100,C28,101:101)+100</f>
        <v>102</v>
      </c>
      <c r="K27" s="533">
        <v>2</v>
      </c>
      <c r="L27" s="2124"/>
      <c r="M27" s="2114"/>
      <c r="N27" s="2114"/>
      <c r="O27" s="2123"/>
      <c r="P27" s="3440"/>
      <c r="Q27" s="1555" t="str">
        <f t="shared" si="8"/>
        <v>自然及人文环境状况</v>
      </c>
      <c r="R27" s="1556" t="s">
        <v>8</v>
      </c>
      <c r="S27" s="1557">
        <f>F27</f>
        <v>100</v>
      </c>
      <c r="T27" s="1556" t="s">
        <v>8</v>
      </c>
      <c r="U27" s="1557">
        <f>H27</f>
        <v>102</v>
      </c>
      <c r="V27" s="1556" t="s">
        <v>8</v>
      </c>
      <c r="W27" s="1557">
        <f>J27</f>
        <v>102</v>
      </c>
      <c r="X27" s="1550"/>
      <c r="Y27" s="3440"/>
      <c r="Z27" s="1558" t="str">
        <f>Q27</f>
        <v>自然及人文环境状况</v>
      </c>
      <c r="AA27" s="1559">
        <f t="shared" si="3"/>
        <v>1</v>
      </c>
      <c r="AB27" s="1559">
        <f t="shared" si="4"/>
        <v>0.98039215686274506</v>
      </c>
      <c r="AC27" s="1559">
        <f t="shared" si="5"/>
        <v>0.98039215686274506</v>
      </c>
    </row>
    <row r="28" spans="1:29" ht="20.25">
      <c r="A28" s="513"/>
      <c r="B28" s="564"/>
      <c r="C28" s="3185" t="s">
        <v>3198</v>
      </c>
      <c r="D28" s="555"/>
      <c r="E28" s="3188" t="s">
        <v>3198</v>
      </c>
      <c r="F28" s="553"/>
      <c r="G28" s="3185" t="s">
        <v>3134</v>
      </c>
      <c r="H28" s="553"/>
      <c r="I28" s="3188" t="s">
        <v>3134</v>
      </c>
      <c r="J28" s="553"/>
      <c r="K28" s="529"/>
      <c r="L28" s="2124"/>
      <c r="M28" s="2114"/>
      <c r="N28" s="2114"/>
      <c r="O28" s="2123"/>
      <c r="P28" s="3440"/>
      <c r="Q28" s="1555"/>
      <c r="R28" s="1556"/>
      <c r="S28" s="1557"/>
      <c r="T28" s="1556"/>
      <c r="U28" s="1557"/>
      <c r="V28" s="1556"/>
      <c r="W28" s="1557"/>
      <c r="X28" s="1550"/>
      <c r="Y28" s="3440"/>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105</v>
      </c>
      <c r="G29" s="560"/>
      <c r="H29" s="557">
        <f>SUMIF(102:102,G30,103:103)-SUMIF(102:102,C30,103:103)+100</f>
        <v>105</v>
      </c>
      <c r="I29" s="562"/>
      <c r="J29" s="557">
        <f>SUMIF(102:102,I30,103:103)-SUMIF(102:102,C30,103:103)+100</f>
        <v>105</v>
      </c>
      <c r="K29" s="533">
        <v>5</v>
      </c>
      <c r="L29" s="2117"/>
      <c r="M29" s="2114"/>
      <c r="N29" s="2114"/>
      <c r="O29" s="2119"/>
      <c r="P29" s="3440"/>
      <c r="Q29" s="1144" t="str">
        <f t="shared" si="8"/>
        <v>公共配套设施</v>
      </c>
      <c r="R29" s="1551" t="s">
        <v>8</v>
      </c>
      <c r="S29" s="1552">
        <f>F29</f>
        <v>105</v>
      </c>
      <c r="T29" s="1551" t="s">
        <v>8</v>
      </c>
      <c r="U29" s="1552">
        <f>H29</f>
        <v>105</v>
      </c>
      <c r="V29" s="1551" t="s">
        <v>8</v>
      </c>
      <c r="W29" s="1552">
        <f>J29</f>
        <v>105</v>
      </c>
      <c r="X29" s="1553"/>
      <c r="Y29" s="3440"/>
      <c r="Z29" s="1143" t="str">
        <f>Q29</f>
        <v>公共配套设施</v>
      </c>
      <c r="AA29" s="1559">
        <f>D29/F29</f>
        <v>0.95238095238095233</v>
      </c>
      <c r="AB29" s="1559">
        <f>D29/H29</f>
        <v>0.95238095238095233</v>
      </c>
      <c r="AC29" s="1559">
        <f>D29/J29</f>
        <v>0.95238095238095233</v>
      </c>
    </row>
    <row r="30" spans="1:29" s="1213" customFormat="1" ht="20.25">
      <c r="A30" s="575"/>
      <c r="B30" s="564"/>
      <c r="C30" s="3189" t="s">
        <v>3133</v>
      </c>
      <c r="D30" s="555"/>
      <c r="E30" s="3188" t="s">
        <v>3139</v>
      </c>
      <c r="F30" s="553"/>
      <c r="G30" s="3185" t="s">
        <v>3138</v>
      </c>
      <c r="H30" s="553"/>
      <c r="I30" s="3188" t="s">
        <v>3139</v>
      </c>
      <c r="J30" s="553"/>
      <c r="K30" s="529"/>
      <c r="L30" s="2117"/>
      <c r="M30" s="2114"/>
      <c r="N30" s="2114"/>
      <c r="O30" s="2119"/>
      <c r="P30" s="3440"/>
      <c r="Q30" s="1144"/>
      <c r="R30" s="1551"/>
      <c r="S30" s="1552"/>
      <c r="T30" s="1551"/>
      <c r="U30" s="1552"/>
      <c r="V30" s="1551"/>
      <c r="W30" s="1552"/>
      <c r="X30" s="1553"/>
      <c r="Y30" s="3440"/>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440"/>
      <c r="Q31" s="2539" t="str">
        <f>B31</f>
        <v>基础设施水平</v>
      </c>
      <c r="R31" s="1551" t="s">
        <v>8</v>
      </c>
      <c r="S31" s="1552">
        <f>F31</f>
        <v>100</v>
      </c>
      <c r="T31" s="1551" t="s">
        <v>8</v>
      </c>
      <c r="U31" s="1552">
        <f>H31</f>
        <v>100</v>
      </c>
      <c r="V31" s="1551" t="s">
        <v>8</v>
      </c>
      <c r="W31" s="1552">
        <f>J31</f>
        <v>100</v>
      </c>
      <c r="X31" s="1553"/>
      <c r="Y31" s="3440"/>
      <c r="Z31" s="2536" t="str">
        <f>Q31</f>
        <v>基础设施水平</v>
      </c>
      <c r="AA31" s="1559">
        <f>D31/F31</f>
        <v>1</v>
      </c>
      <c r="AB31" s="1559">
        <f>D31/H31</f>
        <v>1</v>
      </c>
      <c r="AC31" s="1559">
        <f>D31/J31</f>
        <v>1</v>
      </c>
    </row>
    <row r="32" spans="1:29" s="1213" customFormat="1" ht="20.25">
      <c r="A32" s="575"/>
      <c r="B32" s="564"/>
      <c r="C32" s="3189" t="s">
        <v>3135</v>
      </c>
      <c r="D32" s="555"/>
      <c r="E32" s="3190" t="s">
        <v>3135</v>
      </c>
      <c r="F32" s="553"/>
      <c r="G32" s="3189" t="s">
        <v>3135</v>
      </c>
      <c r="H32" s="553"/>
      <c r="I32" s="3189" t="s">
        <v>3135</v>
      </c>
      <c r="J32" s="553"/>
      <c r="K32" s="529"/>
      <c r="L32" s="2117"/>
      <c r="M32" s="2114"/>
      <c r="N32" s="2114"/>
      <c r="O32" s="2119"/>
      <c r="P32" s="3440"/>
      <c r="Q32" s="2539"/>
      <c r="R32" s="1551"/>
      <c r="S32" s="1552"/>
      <c r="T32" s="1551"/>
      <c r="U32" s="1552"/>
      <c r="V32" s="1551"/>
      <c r="W32" s="1552"/>
      <c r="X32" s="1553"/>
      <c r="Y32" s="3440"/>
      <c r="Z32" s="2536"/>
      <c r="AA32" s="1559">
        <v>1</v>
      </c>
      <c r="AB32" s="1559">
        <v>1</v>
      </c>
      <c r="AC32" s="1559">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40"/>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440"/>
      <c r="Z33" s="1558" t="str">
        <f t="shared" ref="Z33:Z47" si="12">Q33</f>
        <v>临街状况</v>
      </c>
      <c r="AA33" s="1559">
        <f t="shared" si="3"/>
        <v>1</v>
      </c>
      <c r="AB33" s="1559">
        <f t="shared" si="4"/>
        <v>1</v>
      </c>
      <c r="AC33" s="1559">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40"/>
      <c r="Q34" s="1555" t="str">
        <f t="shared" si="8"/>
        <v>毗邻道路的类型与等级</v>
      </c>
      <c r="R34" s="1556" t="s">
        <v>8</v>
      </c>
      <c r="S34" s="1557">
        <f t="shared" si="9"/>
        <v>100</v>
      </c>
      <c r="T34" s="1556" t="s">
        <v>8</v>
      </c>
      <c r="U34" s="1557">
        <f t="shared" si="10"/>
        <v>100</v>
      </c>
      <c r="V34" s="1556" t="s">
        <v>8</v>
      </c>
      <c r="W34" s="1557">
        <f t="shared" si="11"/>
        <v>100</v>
      </c>
      <c r="X34" s="1550"/>
      <c r="Y34" s="3440"/>
      <c r="Z34" s="1558" t="str">
        <f t="shared" si="12"/>
        <v>毗邻道路的类型与等级</v>
      </c>
      <c r="AA34" s="1559">
        <f t="shared" si="3"/>
        <v>1</v>
      </c>
      <c r="AB34" s="1559">
        <f t="shared" si="4"/>
        <v>1</v>
      </c>
      <c r="AC34" s="1559">
        <f t="shared" si="5"/>
        <v>1</v>
      </c>
    </row>
    <row r="35" spans="1:29" ht="20.25">
      <c r="A35" s="530"/>
      <c r="B35" s="564"/>
      <c r="C35" s="552"/>
      <c r="D35" s="555"/>
      <c r="E35" s="574"/>
      <c r="F35" s="553"/>
      <c r="G35" s="552"/>
      <c r="H35" s="553"/>
      <c r="I35" s="574"/>
      <c r="J35" s="553"/>
      <c r="K35" s="579"/>
      <c r="L35" s="2124"/>
      <c r="M35" s="2114"/>
      <c r="N35" s="2114"/>
      <c r="O35" s="2123"/>
      <c r="P35" s="3440"/>
      <c r="Q35" s="1555"/>
      <c r="R35" s="1556"/>
      <c r="S35" s="1557"/>
      <c r="T35" s="1556"/>
      <c r="U35" s="1557"/>
      <c r="V35" s="1556"/>
      <c r="W35" s="1557"/>
      <c r="X35" s="1550"/>
      <c r="Y35" s="3440"/>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40"/>
      <c r="Q36" s="1555" t="str">
        <f t="shared" si="8"/>
        <v>土地级别</v>
      </c>
      <c r="R36" s="1556" t="s">
        <v>8</v>
      </c>
      <c r="S36" s="1557">
        <f t="shared" si="9"/>
        <v>100</v>
      </c>
      <c r="T36" s="1556" t="s">
        <v>8</v>
      </c>
      <c r="U36" s="1557">
        <f t="shared" si="10"/>
        <v>100</v>
      </c>
      <c r="V36" s="1556" t="s">
        <v>8</v>
      </c>
      <c r="W36" s="1557">
        <f t="shared" si="11"/>
        <v>100</v>
      </c>
      <c r="X36" s="1550"/>
      <c r="Y36" s="3440"/>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40"/>
      <c r="Q37" s="1555">
        <f t="shared" si="8"/>
        <v>111</v>
      </c>
      <c r="R37" s="1556" t="s">
        <v>8</v>
      </c>
      <c r="S37" s="1557">
        <f t="shared" si="9"/>
        <v>100</v>
      </c>
      <c r="T37" s="1556" t="s">
        <v>8</v>
      </c>
      <c r="U37" s="1557">
        <f t="shared" si="10"/>
        <v>100</v>
      </c>
      <c r="V37" s="1556" t="s">
        <v>8</v>
      </c>
      <c r="W37" s="1557">
        <f t="shared" si="11"/>
        <v>100</v>
      </c>
      <c r="X37" s="1550"/>
      <c r="Y37" s="3440"/>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41" t="s">
        <v>550</v>
      </c>
      <c r="Q38" s="1555">
        <f t="shared" si="8"/>
        <v>111</v>
      </c>
      <c r="R38" s="1556" t="s">
        <v>8</v>
      </c>
      <c r="S38" s="1557">
        <f t="shared" si="9"/>
        <v>100</v>
      </c>
      <c r="T38" s="1556" t="s">
        <v>8</v>
      </c>
      <c r="U38" s="1557">
        <f t="shared" si="10"/>
        <v>100</v>
      </c>
      <c r="V38" s="1556" t="s">
        <v>8</v>
      </c>
      <c r="W38" s="1557">
        <f t="shared" si="11"/>
        <v>100</v>
      </c>
      <c r="X38" s="1550"/>
      <c r="Y38" s="3442"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42"/>
      <c r="Q39" s="1555">
        <f t="shared" si="8"/>
        <v>111</v>
      </c>
      <c r="R39" s="1560" t="s">
        <v>8</v>
      </c>
      <c r="S39" s="1561">
        <f t="shared" si="9"/>
        <v>100</v>
      </c>
      <c r="T39" s="1560" t="s">
        <v>8</v>
      </c>
      <c r="U39" s="1561">
        <f t="shared" si="10"/>
        <v>100</v>
      </c>
      <c r="V39" s="1560" t="s">
        <v>8</v>
      </c>
      <c r="W39" s="1561">
        <f t="shared" si="11"/>
        <v>100</v>
      </c>
      <c r="X39" s="1562"/>
      <c r="Y39" s="3442"/>
      <c r="Z39" s="1563">
        <f t="shared" si="12"/>
        <v>111</v>
      </c>
      <c r="AA39" s="1559">
        <f t="shared" si="3"/>
        <v>1</v>
      </c>
      <c r="AB39" s="1559">
        <f t="shared" si="4"/>
        <v>1</v>
      </c>
      <c r="AC39" s="1559">
        <f t="shared" si="5"/>
        <v>1</v>
      </c>
    </row>
    <row r="40" spans="1:29" ht="20.25">
      <c r="A40" s="2859" t="s">
        <v>2751</v>
      </c>
      <c r="B40" s="593" t="s">
        <v>552</v>
      </c>
      <c r="C40" s="594">
        <f>Sheet2!C56</f>
        <v>68319.509999999995</v>
      </c>
      <c r="D40" s="595">
        <v>100</v>
      </c>
      <c r="E40" s="594">
        <f>Sheet3!D3</f>
        <v>42366.9</v>
      </c>
      <c r="F40" s="595">
        <f>LOOKUP(E40,119:119,120:120)-LOOKUP(C40,119:119,120:120)+100</f>
        <v>100</v>
      </c>
      <c r="G40" s="594">
        <f>Sheet3!D6</f>
        <v>65116.800000000003</v>
      </c>
      <c r="H40" s="595">
        <f>LOOKUP(G40,119:119,120:120)-LOOKUP(C40,119:119,120:120)+100</f>
        <v>100</v>
      </c>
      <c r="I40" s="596">
        <f>Sheet3!D9</f>
        <v>58811.9</v>
      </c>
      <c r="J40" s="595">
        <f>LOOKUP(I40,119:119,120:120)-LOOKUP(C40,119:119,120:120)+100</f>
        <v>100</v>
      </c>
      <c r="K40" s="579"/>
      <c r="L40" s="2124"/>
      <c r="M40" s="2114"/>
      <c r="N40" s="2114"/>
      <c r="O40" s="2123"/>
      <c r="P40" s="3442"/>
      <c r="Q40" s="1555" t="str">
        <f>B40</f>
        <v>宗地面积</v>
      </c>
      <c r="R40" s="1556" t="s">
        <v>8</v>
      </c>
      <c r="S40" s="1557">
        <f t="shared" si="9"/>
        <v>100</v>
      </c>
      <c r="T40" s="1556" t="s">
        <v>8</v>
      </c>
      <c r="U40" s="1557">
        <f t="shared" si="10"/>
        <v>100</v>
      </c>
      <c r="V40" s="1556" t="s">
        <v>8</v>
      </c>
      <c r="W40" s="1557">
        <f t="shared" si="11"/>
        <v>100</v>
      </c>
      <c r="X40" s="1550"/>
      <c r="Y40" s="3442"/>
      <c r="Z40" s="1558" t="str">
        <f t="shared" si="12"/>
        <v>宗地面积</v>
      </c>
      <c r="AA40" s="1559">
        <f t="shared" si="3"/>
        <v>1</v>
      </c>
      <c r="AB40" s="1559">
        <f t="shared" si="4"/>
        <v>1</v>
      </c>
      <c r="AC40" s="1559">
        <f t="shared" si="5"/>
        <v>1</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4"/>
      <c r="M41" s="2114"/>
      <c r="N41" s="2114"/>
      <c r="O41" s="2123"/>
      <c r="P41" s="3442"/>
      <c r="Q41" s="1555" t="str">
        <f t="shared" ref="Q41:Q47" si="13">B41</f>
        <v>宗地形状</v>
      </c>
      <c r="R41" s="1556" t="s">
        <v>8</v>
      </c>
      <c r="S41" s="1557">
        <f t="shared" si="9"/>
        <v>100</v>
      </c>
      <c r="T41" s="1556" t="s">
        <v>8</v>
      </c>
      <c r="U41" s="1557">
        <f t="shared" si="10"/>
        <v>100</v>
      </c>
      <c r="V41" s="1556" t="s">
        <v>8</v>
      </c>
      <c r="W41" s="1557">
        <f t="shared" si="11"/>
        <v>100</v>
      </c>
      <c r="X41" s="1550"/>
      <c r="Y41" s="3442"/>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42"/>
      <c r="Q42" s="1555" t="str">
        <f t="shared" si="13"/>
        <v>临街宽度及深度</v>
      </c>
      <c r="R42" s="1556" t="s">
        <v>8</v>
      </c>
      <c r="S42" s="1557">
        <f t="shared" si="9"/>
        <v>100</v>
      </c>
      <c r="T42" s="1556" t="s">
        <v>8</v>
      </c>
      <c r="U42" s="1557">
        <f t="shared" si="10"/>
        <v>100</v>
      </c>
      <c r="V42" s="1556" t="s">
        <v>8</v>
      </c>
      <c r="W42" s="1557">
        <f t="shared" si="11"/>
        <v>100</v>
      </c>
      <c r="X42" s="1550"/>
      <c r="Y42" s="3442"/>
      <c r="Z42" s="1558" t="str">
        <f t="shared" si="12"/>
        <v>临街宽度及深度</v>
      </c>
      <c r="AA42" s="1559">
        <f t="shared" si="3"/>
        <v>1</v>
      </c>
      <c r="AB42" s="1559">
        <f t="shared" si="4"/>
        <v>1</v>
      </c>
      <c r="AC42" s="1559">
        <f t="shared" si="5"/>
        <v>1</v>
      </c>
    </row>
    <row r="43" spans="1:29" s="1213" customFormat="1" ht="20.25">
      <c r="A43" s="598"/>
      <c r="B43" s="1877" t="s">
        <v>2421</v>
      </c>
      <c r="C43" s="599" t="s">
        <v>3143</v>
      </c>
      <c r="D43" s="253">
        <v>100</v>
      </c>
      <c r="E43" s="599" t="s">
        <v>3143</v>
      </c>
      <c r="F43" s="538">
        <f>SUMIF(125:125,E43,126:126)-SUMIF(125:125,C43,126:126)+100</f>
        <v>100</v>
      </c>
      <c r="G43" s="599" t="s">
        <v>3143</v>
      </c>
      <c r="H43" s="538">
        <f>SUMIF(125:125,G43,126:126)-SUMIF(125:125,C43,126:126)+100</f>
        <v>100</v>
      </c>
      <c r="I43" s="599" t="s">
        <v>3143</v>
      </c>
      <c r="J43" s="538">
        <f>SUMIF(125:125,I43,126:126)-SUMIF(125:125,C43,126:126)+100</f>
        <v>100</v>
      </c>
      <c r="K43" s="582">
        <v>2</v>
      </c>
      <c r="L43" s="2117"/>
      <c r="M43" s="2114"/>
      <c r="N43" s="2114"/>
      <c r="O43" s="2119"/>
      <c r="P43" s="3442"/>
      <c r="Q43" s="1555" t="str">
        <f t="shared" si="13"/>
        <v>宗地开发程度</v>
      </c>
      <c r="R43" s="1551" t="s">
        <v>8</v>
      </c>
      <c r="S43" s="1552">
        <f t="shared" si="9"/>
        <v>100</v>
      </c>
      <c r="T43" s="1551" t="s">
        <v>8</v>
      </c>
      <c r="U43" s="1552">
        <f t="shared" si="10"/>
        <v>100</v>
      </c>
      <c r="V43" s="1551" t="s">
        <v>8</v>
      </c>
      <c r="W43" s="1552">
        <f t="shared" si="11"/>
        <v>100</v>
      </c>
      <c r="X43" s="1553"/>
      <c r="Y43" s="3442"/>
      <c r="Z43" s="1143" t="str">
        <f t="shared" si="12"/>
        <v>宗地开发程度</v>
      </c>
      <c r="AA43" s="1554">
        <f t="shared" si="3"/>
        <v>1</v>
      </c>
      <c r="AB43" s="1554">
        <f t="shared" si="4"/>
        <v>1</v>
      </c>
      <c r="AC43" s="1554">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42" t="s">
        <v>550</v>
      </c>
      <c r="Q44" s="1555" t="str">
        <f t="shared" si="13"/>
        <v>工程地质条件</v>
      </c>
      <c r="R44" s="1556" t="s">
        <v>8</v>
      </c>
      <c r="S44" s="1557">
        <f t="shared" si="9"/>
        <v>100</v>
      </c>
      <c r="T44" s="1556" t="s">
        <v>8</v>
      </c>
      <c r="U44" s="1557">
        <f t="shared" si="10"/>
        <v>100</v>
      </c>
      <c r="V44" s="1556" t="s">
        <v>8</v>
      </c>
      <c r="W44" s="1557">
        <f t="shared" si="11"/>
        <v>100</v>
      </c>
      <c r="X44" s="1550"/>
      <c r="Y44" s="3442"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42"/>
      <c r="Q45" s="1555">
        <f t="shared" si="13"/>
        <v>111</v>
      </c>
      <c r="R45" s="1556" t="s">
        <v>8</v>
      </c>
      <c r="S45" s="1557">
        <f t="shared" si="9"/>
        <v>100</v>
      </c>
      <c r="T45" s="1556" t="s">
        <v>8</v>
      </c>
      <c r="U45" s="1557">
        <f t="shared" si="10"/>
        <v>100</v>
      </c>
      <c r="V45" s="1556" t="s">
        <v>8</v>
      </c>
      <c r="W45" s="1557">
        <f t="shared" si="11"/>
        <v>100</v>
      </c>
      <c r="X45" s="1550"/>
      <c r="Y45" s="3442"/>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42"/>
      <c r="Q46" s="1555">
        <f t="shared" si="13"/>
        <v>111</v>
      </c>
      <c r="R46" s="1556" t="s">
        <v>8</v>
      </c>
      <c r="S46" s="1557">
        <f t="shared" si="9"/>
        <v>100</v>
      </c>
      <c r="T46" s="1556" t="s">
        <v>8</v>
      </c>
      <c r="U46" s="1557">
        <f t="shared" si="10"/>
        <v>100</v>
      </c>
      <c r="V46" s="1556" t="s">
        <v>8</v>
      </c>
      <c r="W46" s="1557">
        <f t="shared" si="11"/>
        <v>100</v>
      </c>
      <c r="X46" s="1550"/>
      <c r="Y46" s="3442"/>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42"/>
      <c r="Q47" s="1555">
        <f t="shared" si="13"/>
        <v>111</v>
      </c>
      <c r="R47" s="1560" t="s">
        <v>8</v>
      </c>
      <c r="S47" s="1561">
        <f t="shared" si="9"/>
        <v>100</v>
      </c>
      <c r="T47" s="1560" t="s">
        <v>8</v>
      </c>
      <c r="U47" s="1561">
        <f t="shared" si="10"/>
        <v>100</v>
      </c>
      <c r="V47" s="1560" t="s">
        <v>8</v>
      </c>
      <c r="W47" s="1561">
        <f t="shared" si="11"/>
        <v>100</v>
      </c>
      <c r="X47" s="1562"/>
      <c r="Y47" s="3442"/>
      <c r="Z47" s="1563">
        <f t="shared" si="12"/>
        <v>111</v>
      </c>
      <c r="AA47" s="1559">
        <f t="shared" si="3"/>
        <v>1</v>
      </c>
      <c r="AB47" s="1559">
        <f t="shared" si="4"/>
        <v>1</v>
      </c>
      <c r="AC47" s="1559">
        <f t="shared" si="5"/>
        <v>1</v>
      </c>
    </row>
    <row r="48" spans="1:29" ht="20.25">
      <c r="A48" s="605" t="s">
        <v>556</v>
      </c>
      <c r="B48" s="606" t="s">
        <v>3136</v>
      </c>
      <c r="C48" s="607" t="s">
        <v>1</v>
      </c>
      <c r="D48" s="608"/>
      <c r="E48" s="609">
        <v>1161</v>
      </c>
      <c r="F48" s="610"/>
      <c r="G48" s="611">
        <v>977</v>
      </c>
      <c r="H48" s="612"/>
      <c r="I48" s="609">
        <v>1014</v>
      </c>
      <c r="J48" s="612"/>
      <c r="K48" s="1333"/>
      <c r="L48" s="2126"/>
      <c r="M48" s="2114"/>
      <c r="N48" s="2114"/>
      <c r="O48" s="2127"/>
      <c r="P48" s="3405" t="str">
        <f>A48</f>
        <v>成交单价</v>
      </c>
      <c r="Q48" s="3405"/>
      <c r="R48" s="3406">
        <f>E48</f>
        <v>1161</v>
      </c>
      <c r="S48" s="3406"/>
      <c r="T48" s="3406">
        <f>G48</f>
        <v>977</v>
      </c>
      <c r="U48" s="3406"/>
      <c r="V48" s="3406">
        <f>I48</f>
        <v>1014</v>
      </c>
      <c r="W48" s="3406"/>
      <c r="X48" s="1542"/>
      <c r="Y48" s="1564"/>
      <c r="Z48" s="1542"/>
      <c r="AA48" s="1542"/>
      <c r="AB48" s="1542"/>
      <c r="AC48" s="1542"/>
    </row>
    <row r="49" spans="1:29" ht="21" thickBot="1">
      <c r="A49" s="613" t="s">
        <v>2689</v>
      </c>
      <c r="B49" s="614"/>
      <c r="C49" s="615">
        <f>R50</f>
        <v>940</v>
      </c>
      <c r="D49" s="616"/>
      <c r="E49" s="615">
        <f>R49</f>
        <v>1048</v>
      </c>
      <c r="F49" s="617"/>
      <c r="G49" s="618">
        <f>T49</f>
        <v>869</v>
      </c>
      <c r="H49" s="616"/>
      <c r="I49" s="615">
        <f>V49</f>
        <v>902</v>
      </c>
      <c r="J49" s="616"/>
      <c r="K49" s="1334"/>
      <c r="L49" s="2126"/>
      <c r="M49" s="2114"/>
      <c r="N49" s="2114"/>
      <c r="O49" s="2127"/>
      <c r="P49" s="3405" t="str">
        <f>A49</f>
        <v>比较价格（元/平方米）</v>
      </c>
      <c r="Q49" s="3405"/>
      <c r="R49" s="3407">
        <f>ROUND(PRODUCT(R48,AA9:AA47),0)</f>
        <v>1048</v>
      </c>
      <c r="S49" s="3407"/>
      <c r="T49" s="3407">
        <f>ROUND(PRODUCT(T48,AB9:AB47),0)</f>
        <v>869</v>
      </c>
      <c r="U49" s="3407"/>
      <c r="V49" s="3407">
        <f>ROUND(PRODUCT(V48,AC9:AC47),0)</f>
        <v>902</v>
      </c>
      <c r="W49" s="3407"/>
      <c r="X49" s="1542"/>
      <c r="Y49" s="1542"/>
      <c r="Z49" s="1542"/>
      <c r="AA49" s="1542"/>
      <c r="AB49" s="1542"/>
      <c r="AC49" s="1542"/>
    </row>
    <row r="50" spans="1:29" ht="21" thickBot="1">
      <c r="A50" s="619" t="s">
        <v>2933</v>
      </c>
      <c r="B50" s="620"/>
      <c r="C50" s="621">
        <f>R50</f>
        <v>940</v>
      </c>
      <c r="D50" s="621"/>
      <c r="E50" s="621"/>
      <c r="F50" s="621"/>
      <c r="G50" s="621"/>
      <c r="H50" s="621"/>
      <c r="I50" s="621"/>
      <c r="J50" s="621"/>
      <c r="K50" s="1335"/>
      <c r="L50" s="2126"/>
      <c r="M50" s="2114"/>
      <c r="N50" s="2114"/>
      <c r="O50" s="2127"/>
      <c r="P50" s="3402" t="str">
        <f>A50</f>
        <v>估价对象XX用房的比较价格（楼面单价，元/平方米）</v>
      </c>
      <c r="Q50" s="3403"/>
      <c r="R50" s="3404">
        <f>ROUND(AVERAGE(R49:V49),0)</f>
        <v>940</v>
      </c>
      <c r="S50" s="3404"/>
      <c r="T50" s="3404"/>
      <c r="U50" s="3404"/>
      <c r="V50" s="3404"/>
      <c r="W50" s="3404"/>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0.10782442748091614</v>
      </c>
      <c r="F53" s="625" t="str">
        <f>IF(OR(E53&gt;=0.3,E53&lt;=-0.3),"超过30%","")</f>
        <v/>
      </c>
      <c r="G53" s="624">
        <f>IF(G48&lt;G49,G49/G48-1,G48/G49-1)</f>
        <v>0.12428078250863051</v>
      </c>
      <c r="H53" s="625" t="str">
        <f>IF(OR(G53&gt;=0.3,G53&lt;=-0.3),"超过30%","")</f>
        <v/>
      </c>
      <c r="I53" s="624">
        <f>IF(I48&lt;I49,I49/I48-1,I48/I49-1)</f>
        <v>0.12416851441241694</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0.20598388952819335</v>
      </c>
      <c r="F54" s="625" t="str">
        <f>IF(OR(E54&gt;=0.2,E54&lt;=-0.2),"超过20%","")</f>
        <v>超过20%</v>
      </c>
      <c r="G54" s="624">
        <f>IF(G49&lt;I49,I49/G49-1,G49/I49-1)</f>
        <v>3.7974683544303778E-2</v>
      </c>
      <c r="H54" s="625" t="str">
        <f>IF(OR(G54&gt;=0.2,G54&lt;=-0.2),"超过20%","")</f>
        <v/>
      </c>
      <c r="I54" s="624">
        <f>IF(I49&lt;E49,E49/I49-1,I49/E49-1)</f>
        <v>0.16186252771618626</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0.18833162743091103</v>
      </c>
      <c r="F55" s="625" t="str">
        <f>IF(OR(E55&gt;=0.3,E55&lt;=-0.3),"超过30%","")</f>
        <v/>
      </c>
      <c r="G55" s="624">
        <f>IF(G48&lt;I48,I48/G48-1,G48/I48-1)</f>
        <v>3.7871033776867957E-2</v>
      </c>
      <c r="H55" s="625" t="str">
        <f>IF(OR(G55&gt;=0.3,G55&lt;=-0.3),"超过30%","")</f>
        <v/>
      </c>
      <c r="I55" s="624">
        <f>IF(I48&lt;E48,E48/I48-1,I48/E48-1)</f>
        <v>0.1449704142011834</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31" t="s">
        <v>2278</v>
      </c>
      <c r="H57" s="3432"/>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940</v>
      </c>
      <c r="C58" s="633">
        <v>1</v>
      </c>
      <c r="D58" s="2210">
        <v>1</v>
      </c>
      <c r="E58" s="633">
        <f>'数据-汇总表'!E8+'数据-汇总表'!E9</f>
        <v>132579.91</v>
      </c>
      <c r="F58" s="634">
        <f t="shared" ref="F58:F67" si="14">ROUND(B58*E58/10000,0)</f>
        <v>12463</v>
      </c>
      <c r="G58" s="3433"/>
      <c r="H58" s="343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435"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43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43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43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132579.91</v>
      </c>
      <c r="F68" s="642">
        <f>IF(B48="楼面地价",SUM(F58:F67),ROUND(C50*E68/10000,0))</f>
        <v>12463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7">EDATE(D70,-3)</f>
        <v>43739</v>
      </c>
      <c r="F70" s="2751">
        <f t="shared" si="17"/>
        <v>43647</v>
      </c>
      <c r="G70" s="2751">
        <f t="shared" si="17"/>
        <v>43556</v>
      </c>
      <c r="H70" s="2751">
        <f t="shared" si="17"/>
        <v>43466</v>
      </c>
      <c r="I70" s="2751">
        <f t="shared" si="17"/>
        <v>43374</v>
      </c>
      <c r="J70" s="2751">
        <f t="shared" si="17"/>
        <v>43282</v>
      </c>
      <c r="K70" s="2751">
        <f t="shared" si="17"/>
        <v>43191</v>
      </c>
      <c r="L70" s="2751">
        <f t="shared" si="17"/>
        <v>43101</v>
      </c>
      <c r="M70" s="2751">
        <f t="shared" si="17"/>
        <v>43009</v>
      </c>
      <c r="N70" s="2751">
        <f t="shared" si="17"/>
        <v>42917</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2020-2</v>
      </c>
      <c r="D72" s="2753" t="str">
        <f>YEAR(D70)&amp;"-"&amp;ROUNDUP(MONTH(D70)/3,0)</f>
        <v>2020-1</v>
      </c>
      <c r="E72" s="2753" t="str">
        <f t="shared" ref="E72:N72" si="18">YEAR(E70)&amp;"-"&amp;ROUNDUP(MONTH(E70)/3,0)</f>
        <v>2019-4</v>
      </c>
      <c r="F72" s="2753" t="str">
        <f t="shared" si="18"/>
        <v>2019-3</v>
      </c>
      <c r="G72" s="2753" t="str">
        <f t="shared" si="18"/>
        <v>2019-2</v>
      </c>
      <c r="H72" s="2753" t="str">
        <f t="shared" si="18"/>
        <v>2019-1</v>
      </c>
      <c r="I72" s="2753" t="str">
        <f t="shared" si="18"/>
        <v>2018-4</v>
      </c>
      <c r="J72" s="2753" t="str">
        <f t="shared" si="18"/>
        <v>2018-3</v>
      </c>
      <c r="K72" s="2753" t="str">
        <f t="shared" si="18"/>
        <v>2018-2</v>
      </c>
      <c r="L72" s="2753" t="str">
        <f t="shared" si="18"/>
        <v>2018-1</v>
      </c>
      <c r="M72" s="2753" t="str">
        <f t="shared" si="18"/>
        <v>2017-4</v>
      </c>
      <c r="N72" s="2753" t="str">
        <f t="shared" si="18"/>
        <v>2017-3</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北京市平均增长率1.85%</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2">D109-$K34</f>
        <v>100</v>
      </c>
      <c r="F109" s="677">
        <f t="shared" si="22"/>
        <v>100</v>
      </c>
      <c r="G109" s="677">
        <f t="shared" si="22"/>
        <v>100</v>
      </c>
      <c r="H109" s="677">
        <f t="shared" si="22"/>
        <v>100</v>
      </c>
      <c r="I109" s="677">
        <f t="shared" si="22"/>
        <v>100</v>
      </c>
      <c r="J109" s="677">
        <f t="shared" si="22"/>
        <v>100</v>
      </c>
      <c r="K109" s="677">
        <f t="shared" si="22"/>
        <v>100</v>
      </c>
      <c r="L109" s="677">
        <f t="shared" si="22"/>
        <v>100</v>
      </c>
      <c r="M109" s="677">
        <f t="shared" si="22"/>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0(含)-100000</v>
      </c>
      <c r="D118" s="702" t="str">
        <f t="shared" si="24"/>
        <v>100000(含)-200000</v>
      </c>
      <c r="E118" s="702" t="str">
        <f t="shared" si="24"/>
        <v>200000(含)-</v>
      </c>
      <c r="F118" s="702" t="str">
        <f t="shared" si="24"/>
        <v>(含)-</v>
      </c>
      <c r="G118" s="702" t="str">
        <f t="shared" si="24"/>
        <v>(含)-</v>
      </c>
      <c r="H118" s="702" t="str">
        <f t="shared" si="24"/>
        <v>(含)-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100000</v>
      </c>
      <c r="E119" s="728">
        <v>200000</v>
      </c>
      <c r="F119" s="728"/>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102</v>
      </c>
      <c r="E120" s="724">
        <v>104</v>
      </c>
      <c r="F120" s="724"/>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100</v>
      </c>
      <c r="E122" s="677">
        <f t="shared" si="25"/>
        <v>100</v>
      </c>
      <c r="F122" s="677">
        <f t="shared" si="25"/>
        <v>100</v>
      </c>
      <c r="G122" s="677">
        <f t="shared" si="25"/>
        <v>100</v>
      </c>
      <c r="H122" s="677">
        <f t="shared" si="25"/>
        <v>100</v>
      </c>
      <c r="I122" s="677">
        <f t="shared" si="25"/>
        <v>100</v>
      </c>
      <c r="J122" s="677">
        <f t="shared" si="25"/>
        <v>100</v>
      </c>
      <c r="K122" s="677">
        <f t="shared" si="25"/>
        <v>100</v>
      </c>
      <c r="L122" s="677">
        <f t="shared" si="25"/>
        <v>100</v>
      </c>
      <c r="M122" s="678">
        <f t="shared" si="25"/>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3140</v>
      </c>
      <c r="D125" s="1369" t="s">
        <v>3141</v>
      </c>
      <c r="E125" s="1369" t="s">
        <v>3142</v>
      </c>
      <c r="F125" s="1369" t="s">
        <v>3145</v>
      </c>
      <c r="G125" s="1369" t="s">
        <v>3144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7">D126-$K43</f>
        <v>96</v>
      </c>
      <c r="F126" s="677">
        <f t="shared" si="27"/>
        <v>94</v>
      </c>
      <c r="G126" s="677">
        <f t="shared" si="27"/>
        <v>92</v>
      </c>
      <c r="H126" s="677">
        <f t="shared" si="27"/>
        <v>90</v>
      </c>
      <c r="I126" s="677">
        <f t="shared" si="27"/>
        <v>88</v>
      </c>
      <c r="J126" s="677">
        <f t="shared" si="27"/>
        <v>86</v>
      </c>
      <c r="K126" s="677">
        <f t="shared" si="27"/>
        <v>84</v>
      </c>
      <c r="L126" s="677">
        <f t="shared" si="27"/>
        <v>82</v>
      </c>
      <c r="M126" s="678">
        <f t="shared" si="27"/>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30" t="str">
        <f>项目基本情况!B1</f>
        <v>出让国有建设用地使用权抵押价格预评估</v>
      </c>
      <c r="C37" s="3230"/>
      <c r="D37" s="3230"/>
      <c r="E37" s="3230"/>
      <c r="F37" s="3230"/>
      <c r="G37" s="3230"/>
      <c r="H37" s="3230"/>
      <c r="I37" s="3230"/>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D16" sqref="D1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13089</v>
      </c>
      <c r="C2" s="2086"/>
      <c r="D2" s="2086"/>
      <c r="E2" s="2086"/>
      <c r="F2" s="2086"/>
      <c r="G2" s="2086"/>
      <c r="H2" s="2086"/>
      <c r="I2" s="2086"/>
      <c r="J2" s="2086"/>
      <c r="K2" s="2086"/>
    </row>
    <row r="3" spans="1:31" s="2023" customFormat="1" ht="18" customHeight="1">
      <c r="A3" s="2088" t="s">
        <v>1683</v>
      </c>
      <c r="B3" s="2089">
        <f ca="1">ROUND(B2*10000/IF(B1="",'数据-汇总表'!E3,INDIRECT("'数据-取费表'!K"&amp;$K$1)),0)</f>
        <v>902</v>
      </c>
      <c r="C3" s="2086"/>
      <c r="D3" s="2086"/>
      <c r="E3" s="2086"/>
      <c r="F3" s="2086"/>
      <c r="G3" s="2086"/>
      <c r="H3" s="2086"/>
      <c r="I3" s="2086"/>
      <c r="J3" s="2086"/>
      <c r="K3" s="2086"/>
    </row>
    <row r="4" spans="1:31" s="2023" customFormat="1" ht="18" customHeight="1">
      <c r="A4" s="424" t="s">
        <v>468</v>
      </c>
      <c r="B4" s="425">
        <f ca="1">ROUND(B2*10000/IF(B1="",'数据-汇总表'!D3,INDIRECT("'数据-取费表'!R"&amp;$K$1)),0)</f>
        <v>1916</v>
      </c>
      <c r="C4" s="426"/>
      <c r="D4" s="420"/>
      <c r="E4" s="420"/>
      <c r="F4" s="420"/>
      <c r="G4" s="420"/>
      <c r="H4" s="420"/>
      <c r="I4" s="420"/>
      <c r="J4" s="420"/>
      <c r="K4" s="420"/>
    </row>
    <row r="5" spans="1:31" s="2023" customFormat="1" ht="18" customHeight="1" thickBot="1">
      <c r="A5" s="427"/>
      <c r="B5" s="428">
        <f ca="1">ROUND(B2/(IF(B1="",'数据-汇总表'!D3,INDIRECT("'数据-取费表'!R"&amp;$K$1))/666.67),0)</f>
        <v>128</v>
      </c>
      <c r="C5" s="429" t="s">
        <v>469</v>
      </c>
      <c r="D5" s="420"/>
      <c r="E5" s="420"/>
      <c r="F5" s="420"/>
      <c r="G5" s="420"/>
      <c r="H5" s="420"/>
      <c r="I5" s="420"/>
      <c r="J5" s="420"/>
      <c r="K5" s="420"/>
    </row>
    <row r="6" spans="1:31" s="2093" customFormat="1" ht="16.5" customHeight="1">
      <c r="A6" s="2780" t="s">
        <v>1841</v>
      </c>
      <c r="B6" s="2781"/>
      <c r="C6" s="2782">
        <f>SUM(C10:K10)</f>
        <v>61689</v>
      </c>
      <c r="D6" s="2781"/>
      <c r="E6" s="2781"/>
      <c r="F6" s="2781"/>
      <c r="G6" s="2781"/>
      <c r="H6" s="2781"/>
      <c r="I6" s="2781"/>
      <c r="J6" s="2781"/>
      <c r="K6" s="2783"/>
      <c r="L6" s="2093">
        <f ca="1">B2/C6</f>
        <v>0.212177211496377</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4653</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132579.91</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61689</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25825</v>
      </c>
      <c r="D13" s="2796"/>
      <c r="E13" s="2797"/>
      <c r="F13" s="2798"/>
      <c r="G13" s="2764"/>
      <c r="H13" s="2765"/>
      <c r="I13" s="2765"/>
      <c r="J13" s="2765"/>
      <c r="K13" s="2766"/>
    </row>
    <row r="14" spans="1:31" s="2098" customFormat="1" ht="13.5" customHeight="1">
      <c r="A14" s="2794" t="s">
        <v>1848</v>
      </c>
      <c r="B14" s="2795" t="s">
        <v>480</v>
      </c>
      <c r="C14" s="53">
        <f ca="1">ROUND(C13*F14,0)</f>
        <v>775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1193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2177</v>
      </c>
      <c r="D16" s="2796">
        <f ca="1">IF(B1="",'数据-汇总表'!E3,INDIRECT("'数据-取费表'!K"&amp;$K$1)+INDIRECT("'数据-取费表'!S"&amp;$K$1))</f>
        <v>145126.41</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387</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30357</v>
      </c>
      <c r="D18" s="2805"/>
      <c r="E18" s="466"/>
      <c r="F18" s="466"/>
      <c r="G18" s="2768" t="s">
        <v>2427</v>
      </c>
      <c r="H18" s="2769"/>
      <c r="I18" s="2769"/>
      <c r="J18" s="2769"/>
      <c r="K18" s="2770"/>
    </row>
    <row r="19" spans="1:14" s="2098" customFormat="1" ht="13.5" customHeight="1">
      <c r="A19" s="2802" t="s">
        <v>1853</v>
      </c>
      <c r="B19" s="2803" t="s">
        <v>488</v>
      </c>
      <c r="C19" s="2760">
        <f ca="1">ROUND(D19*E19/10000,0)</f>
        <v>1451</v>
      </c>
      <c r="D19" s="2806">
        <f ca="1">D16</f>
        <v>145126.41</v>
      </c>
      <c r="E19" s="2760">
        <f>'数据-取费表'!B32</f>
        <v>100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1088</v>
      </c>
      <c r="D20" s="2806"/>
      <c r="E20" s="2760"/>
      <c r="F20" s="2807"/>
      <c r="G20" s="3034"/>
      <c r="H20" s="2762"/>
      <c r="I20" s="2763" t="s">
        <v>2647</v>
      </c>
      <c r="J20" s="2769"/>
      <c r="K20" s="2770"/>
    </row>
    <row r="21" spans="1:14" s="2098" customFormat="1" ht="13.5" customHeight="1">
      <c r="A21" s="2794" t="s">
        <v>1855</v>
      </c>
      <c r="B21" s="2795" t="s">
        <v>491</v>
      </c>
      <c r="C21" s="53">
        <f ca="1">ROUND(D21*E21/10000,0)</f>
        <v>994</v>
      </c>
      <c r="D21" s="2796">
        <f ca="1">IF(B1="",'数据-汇总表'!E5,IF(INDIRECT("'数据-取费表'!c"&amp;$K$1)="住宅",INDIRECT("'数据-取费表'!k"&amp;$K$1),0))</f>
        <v>132579.91</v>
      </c>
      <c r="E21" s="53">
        <f>'数据-取费表'!B27</f>
        <v>75</v>
      </c>
      <c r="F21" s="2799"/>
      <c r="G21" s="26"/>
      <c r="H21" s="51"/>
      <c r="I21" s="51"/>
      <c r="J21" s="51"/>
      <c r="K21" s="2771"/>
    </row>
    <row r="22" spans="1:14" s="2098" customFormat="1" ht="13.5" customHeight="1">
      <c r="A22" s="2794" t="s">
        <v>1856</v>
      </c>
      <c r="B22" s="2795" t="s">
        <v>492</v>
      </c>
      <c r="C22" s="53">
        <f ca="1">ROUND(D22*E22/10000,0)</f>
        <v>94</v>
      </c>
      <c r="D22" s="2796">
        <f ca="1">IF(B1="",'数据-汇总表'!E6,IF(INDIRECT("'数据-取费表'!c"&amp;$K$1)="住宅",INDIRECT("'数据-取费表'!s"&amp;$K$1),INDIRECT("'数据-取费表'!k"&amp;$K$1)+INDIRECT("'数据-取费表'!s"&amp;$K$1)))</f>
        <v>12546.5</v>
      </c>
      <c r="E22" s="53">
        <f>'数据-取费表'!B28</f>
        <v>75</v>
      </c>
      <c r="F22" s="2799"/>
      <c r="G22" s="26"/>
      <c r="H22" s="51"/>
      <c r="I22" s="51"/>
      <c r="J22" s="51"/>
      <c r="K22" s="2771"/>
    </row>
    <row r="23" spans="1:14" s="2098" customFormat="1" ht="13.5" customHeight="1">
      <c r="A23" s="2802" t="s">
        <v>1857</v>
      </c>
      <c r="B23" s="2981" t="s">
        <v>2830</v>
      </c>
      <c r="C23" s="2804">
        <f ca="1">ROUND((C18+C19+C20)*F23,0)</f>
        <v>658</v>
      </c>
      <c r="D23" s="466"/>
      <c r="E23" s="466"/>
      <c r="F23" s="2808">
        <f>'数据-取费表'!B37</f>
        <v>0.02</v>
      </c>
      <c r="G23" s="2764" t="s">
        <v>2428</v>
      </c>
      <c r="H23" s="2765"/>
      <c r="I23" s="2765"/>
      <c r="J23" s="2765"/>
      <c r="K23" s="2766"/>
      <c r="L23" s="2100"/>
      <c r="M23" s="2100"/>
      <c r="N23" s="2100"/>
    </row>
    <row r="24" spans="1:14" s="2098" customFormat="1" ht="13.5" customHeight="1">
      <c r="A24" s="2802" t="s">
        <v>1858</v>
      </c>
      <c r="B24" s="2981" t="s">
        <v>2833</v>
      </c>
      <c r="C24" s="2804">
        <f>ROUND(C6*F24,0)</f>
        <v>1234</v>
      </c>
      <c r="D24" s="473"/>
      <c r="E24" s="471"/>
      <c r="F24" s="2808">
        <f>'数据-取费表'!B38</f>
        <v>0.02</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1652</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1652</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3231</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39671</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39671</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5218</v>
      </c>
      <c r="D33" s="465">
        <f ca="1">C34</f>
        <v>0.15440000000000001</v>
      </c>
      <c r="E33" s="467" t="s">
        <v>495</v>
      </c>
      <c r="F33" s="477">
        <f ca="1">IF(B1="",'数据-取费表'!Q16,INDIRECT("'数据-取费表'!q"&amp;$K$1))</f>
        <v>0.15</v>
      </c>
      <c r="G33" s="2768"/>
      <c r="H33" s="2769"/>
      <c r="I33" s="2769"/>
      <c r="J33" s="2769"/>
      <c r="K33" s="2770"/>
    </row>
    <row r="34" spans="1:11" s="2105" customFormat="1" ht="13.5" customHeight="1">
      <c r="A34" s="373" t="s">
        <v>1855</v>
      </c>
      <c r="B34" s="2815" t="s">
        <v>501</v>
      </c>
      <c r="C34" s="470">
        <f ca="1">ROUND((1+C25)*F33,4)</f>
        <v>0.15440000000000001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5218</v>
      </c>
      <c r="D35" s="1611"/>
      <c r="E35" s="2816"/>
      <c r="F35" s="1612"/>
      <c r="G35" s="2774"/>
      <c r="H35" s="2775"/>
      <c r="I35" s="2775"/>
      <c r="J35" s="2775"/>
      <c r="K35" s="2776"/>
    </row>
    <row r="36" spans="1:11" s="2067" customFormat="1" ht="13.5" customHeight="1" thickBot="1">
      <c r="A36" s="282" t="s">
        <v>1843</v>
      </c>
      <c r="B36" s="2778"/>
      <c r="C36" s="2817">
        <f ca="1">ROUND((C6-C30-C33)/(1+D30+D33),0)</f>
        <v>13089</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25825</v>
      </c>
      <c r="D13" s="449"/>
      <c r="E13" s="363"/>
      <c r="F13" s="450"/>
      <c r="G13" s="442"/>
      <c r="H13" s="445"/>
      <c r="I13" s="445"/>
      <c r="J13" s="445"/>
      <c r="K13" s="446"/>
    </row>
    <row r="14" spans="1:41" s="2098" customFormat="1" ht="13.5" customHeight="1">
      <c r="A14" s="1615" t="s">
        <v>1848</v>
      </c>
      <c r="B14" s="447" t="s">
        <v>480</v>
      </c>
      <c r="C14" s="53">
        <f ca="1">ROUND(C13*F14,0)</f>
        <v>775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1193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2177</v>
      </c>
      <c r="D16" s="449">
        <f ca="1">IF(B1="",'数据-汇总表'!E3,INDIRECT("'数据-取费表'!K"&amp;$K$1)+INDIRECT("'数据-取费表'!S"&amp;$K$1))</f>
        <v>145126.41</v>
      </c>
      <c r="E16" s="53">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387</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30357</v>
      </c>
      <c r="D18" s="459"/>
      <c r="E18" s="460"/>
      <c r="F18" s="460"/>
      <c r="G18" s="1320" t="s">
        <v>2429</v>
      </c>
      <c r="H18" s="445"/>
      <c r="I18" s="445"/>
      <c r="J18" s="445"/>
      <c r="K18" s="446"/>
    </row>
    <row r="19" spans="1:14" s="2101" customFormat="1" ht="13.5" customHeight="1">
      <c r="A19" s="1616" t="s">
        <v>1853</v>
      </c>
      <c r="B19" s="457" t="s">
        <v>493</v>
      </c>
      <c r="C19" s="458">
        <f ca="1">ROUND(C18*F19,0)</f>
        <v>607</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1471</v>
      </c>
      <c r="D21" s="465">
        <f ca="1">C23</f>
        <v>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1471</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4645</v>
      </c>
      <c r="D24" s="487">
        <f ca="1">C26</f>
        <v>3.0000000000000001E-3</v>
      </c>
      <c r="E24" s="467" t="s">
        <v>507</v>
      </c>
      <c r="F24" s="477">
        <f ca="1">IF(B1="",'数据-取费表'!Q16,INDIRECT("'数据-取费表'!q"&amp;$K$1))</f>
        <v>0.15</v>
      </c>
      <c r="G24" s="442"/>
      <c r="H24" s="445"/>
      <c r="I24" s="445"/>
      <c r="J24" s="445"/>
      <c r="K24" s="446"/>
    </row>
    <row r="25" spans="1:14" s="2102" customFormat="1" ht="13.5" customHeight="1">
      <c r="A25" s="1615" t="s">
        <v>1847</v>
      </c>
      <c r="B25" s="1321" t="s">
        <v>2433</v>
      </c>
      <c r="C25" s="488">
        <f ca="1">ROUND((C18+C19)*F24,0)</f>
        <v>4645</v>
      </c>
      <c r="D25" s="470"/>
      <c r="E25" s="471"/>
      <c r="F25" s="478"/>
      <c r="G25" s="1319" t="s">
        <v>2430</v>
      </c>
      <c r="H25" s="455"/>
      <c r="I25" s="455"/>
      <c r="J25" s="455"/>
      <c r="K25" s="456"/>
    </row>
    <row r="26" spans="1:14" s="2102" customFormat="1" ht="13.5" customHeight="1">
      <c r="A26" s="1615" t="s">
        <v>1848</v>
      </c>
      <c r="B26" s="1321" t="s">
        <v>509</v>
      </c>
      <c r="C26" s="489">
        <f ca="1">ROUND(F20*F24,4)</f>
        <v>3.0000000000000001E-3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40147</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11" t="s">
        <v>522</v>
      </c>
      <c r="D6" s="3412"/>
      <c r="E6" s="3445" t="s">
        <v>523</v>
      </c>
      <c r="F6" s="3446"/>
      <c r="G6" s="3411" t="s">
        <v>524</v>
      </c>
      <c r="H6" s="3412"/>
      <c r="I6" s="3411" t="s">
        <v>525</v>
      </c>
      <c r="J6" s="3412"/>
      <c r="K6" s="512" t="s">
        <v>526</v>
      </c>
      <c r="L6" s="2115"/>
      <c r="M6" s="2116"/>
      <c r="N6" s="2116"/>
      <c r="O6" s="2116"/>
      <c r="P6" s="3413" t="s">
        <v>527</v>
      </c>
      <c r="Q6" s="3414"/>
      <c r="R6" s="3419" t="s">
        <v>523</v>
      </c>
      <c r="S6" s="3420"/>
      <c r="T6" s="3419" t="s">
        <v>524</v>
      </c>
      <c r="U6" s="3420"/>
      <c r="V6" s="3406" t="s">
        <v>525</v>
      </c>
      <c r="W6" s="3406"/>
      <c r="X6" s="1550"/>
      <c r="Y6" s="3419" t="s">
        <v>527</v>
      </c>
      <c r="Z6" s="3420"/>
      <c r="AA6" s="3408" t="s">
        <v>523</v>
      </c>
      <c r="AB6" s="3409" t="s">
        <v>524</v>
      </c>
      <c r="AC6" s="3408" t="s">
        <v>525</v>
      </c>
    </row>
    <row r="7" spans="1:29" ht="15">
      <c r="A7" s="513"/>
      <c r="B7" s="514"/>
      <c r="C7" s="3427" t="s">
        <v>2927</v>
      </c>
      <c r="D7" s="3428"/>
      <c r="E7" s="3447" t="s">
        <v>2928</v>
      </c>
      <c r="F7" s="3448"/>
      <c r="G7" s="3427" t="s">
        <v>2929</v>
      </c>
      <c r="H7" s="3428"/>
      <c r="I7" s="3427" t="s">
        <v>2930</v>
      </c>
      <c r="J7" s="3428"/>
      <c r="K7" s="512"/>
      <c r="L7" s="2115"/>
      <c r="M7" s="2116"/>
      <c r="N7" s="2116"/>
      <c r="O7" s="2116"/>
      <c r="P7" s="3415"/>
      <c r="Q7" s="3416"/>
      <c r="R7" s="3421"/>
      <c r="S7" s="3422"/>
      <c r="T7" s="3421"/>
      <c r="U7" s="3422"/>
      <c r="V7" s="3406"/>
      <c r="W7" s="3406"/>
      <c r="X7" s="1550"/>
      <c r="Y7" s="3421"/>
      <c r="Z7" s="3422"/>
      <c r="AA7" s="3409"/>
      <c r="AB7" s="3409"/>
      <c r="AC7" s="3409"/>
    </row>
    <row r="8" spans="1:29" ht="15.75" thickBot="1">
      <c r="A8" s="515"/>
      <c r="B8" s="516"/>
      <c r="C8" s="3425" t="s">
        <v>2931</v>
      </c>
      <c r="D8" s="3426"/>
      <c r="E8" s="3443" t="s">
        <v>2931</v>
      </c>
      <c r="F8" s="3444"/>
      <c r="G8" s="3425" t="s">
        <v>2931</v>
      </c>
      <c r="H8" s="3426"/>
      <c r="I8" s="3425" t="s">
        <v>2931</v>
      </c>
      <c r="J8" s="3426"/>
      <c r="K8" s="512" t="s">
        <v>528</v>
      </c>
      <c r="L8" s="2115"/>
      <c r="M8" s="2116"/>
      <c r="N8" s="2116"/>
      <c r="O8" s="2116"/>
      <c r="P8" s="3417"/>
      <c r="Q8" s="3418"/>
      <c r="R8" s="3421"/>
      <c r="S8" s="3422"/>
      <c r="T8" s="3423"/>
      <c r="U8" s="3424"/>
      <c r="V8" s="3406"/>
      <c r="W8" s="3406"/>
      <c r="X8" s="1550"/>
      <c r="Y8" s="3423"/>
      <c r="Z8" s="3424"/>
      <c r="AA8" s="3410"/>
      <c r="AB8" s="3410"/>
      <c r="AC8" s="3410"/>
    </row>
    <row r="9" spans="1:29" s="1213" customFormat="1" ht="15.75" thickBot="1">
      <c r="A9" s="2863"/>
      <c r="B9" s="2870" t="s">
        <v>529</v>
      </c>
      <c r="C9" s="517">
        <f>'数据-取费表'!B2</f>
        <v>43935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36" t="s">
        <v>530</v>
      </c>
      <c r="Q9" s="3438"/>
      <c r="R9" s="1551" t="s">
        <v>8</v>
      </c>
      <c r="S9" s="1552">
        <f t="shared" ref="S9:S17" si="0">F9</f>
        <v>0</v>
      </c>
      <c r="T9" s="1551" t="s">
        <v>8</v>
      </c>
      <c r="U9" s="1552">
        <f t="shared" ref="U9:U17" si="1">H9</f>
        <v>0</v>
      </c>
      <c r="V9" s="1551" t="s">
        <v>8</v>
      </c>
      <c r="W9" s="1552">
        <f t="shared" ref="W9:W17" si="2">J9</f>
        <v>0</v>
      </c>
      <c r="X9" s="1553"/>
      <c r="Y9" s="3436" t="s">
        <v>530</v>
      </c>
      <c r="Z9" s="3437"/>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36" t="s">
        <v>533</v>
      </c>
      <c r="Q10" s="3437"/>
      <c r="R10" s="1551" t="s">
        <v>8</v>
      </c>
      <c r="S10" s="1552">
        <f t="shared" si="0"/>
        <v>0</v>
      </c>
      <c r="T10" s="1551" t="s">
        <v>8</v>
      </c>
      <c r="U10" s="1552">
        <f t="shared" si="1"/>
        <v>0</v>
      </c>
      <c r="V10" s="1551" t="s">
        <v>8</v>
      </c>
      <c r="W10" s="1552">
        <f t="shared" si="2"/>
        <v>0</v>
      </c>
      <c r="X10" s="1553"/>
      <c r="Y10" s="3436" t="s">
        <v>533</v>
      </c>
      <c r="Z10" s="3437"/>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05" t="s">
        <v>535</v>
      </c>
      <c r="Q11" s="1144" t="str">
        <f t="shared" ref="Q11:Q17" si="6">B11</f>
        <v>用途</v>
      </c>
      <c r="R11" s="1551" t="s">
        <v>8</v>
      </c>
      <c r="S11" s="1552">
        <f t="shared" si="0"/>
        <v>100</v>
      </c>
      <c r="T11" s="1551" t="s">
        <v>8</v>
      </c>
      <c r="U11" s="1552">
        <f t="shared" si="1"/>
        <v>100</v>
      </c>
      <c r="V11" s="1551" t="s">
        <v>8</v>
      </c>
      <c r="W11" s="1552">
        <f t="shared" si="2"/>
        <v>100</v>
      </c>
      <c r="X11" s="1553"/>
      <c r="Y11" s="3351"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405"/>
      <c r="Q12" s="1144" t="str">
        <f t="shared" si="6"/>
        <v>土地使用年限（年）</v>
      </c>
      <c r="R12" s="1551" t="s">
        <v>8</v>
      </c>
      <c r="S12" s="1552">
        <f t="shared" si="0"/>
        <v>101</v>
      </c>
      <c r="T12" s="1551" t="s">
        <v>8</v>
      </c>
      <c r="U12" s="1552">
        <f t="shared" si="1"/>
        <v>101</v>
      </c>
      <c r="V12" s="1551" t="s">
        <v>8</v>
      </c>
      <c r="W12" s="1552">
        <f t="shared" si="2"/>
        <v>101</v>
      </c>
      <c r="X12" s="1553"/>
      <c r="Y12" s="3351"/>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05"/>
      <c r="Q13" s="1144" t="str">
        <f t="shared" si="6"/>
        <v>容积率</v>
      </c>
      <c r="R13" s="1551" t="s">
        <v>8</v>
      </c>
      <c r="S13" s="1552" t="e">
        <f t="shared" si="0"/>
        <v>#N/A</v>
      </c>
      <c r="T13" s="1551" t="s">
        <v>8</v>
      </c>
      <c r="U13" s="1552" t="e">
        <f t="shared" si="1"/>
        <v>#N/A</v>
      </c>
      <c r="V13" s="1551" t="s">
        <v>8</v>
      </c>
      <c r="W13" s="1552" t="e">
        <f t="shared" si="2"/>
        <v>#N/A</v>
      </c>
      <c r="X13" s="1553"/>
      <c r="Y13" s="3351"/>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05"/>
      <c r="Q14" s="1144">
        <f t="shared" si="6"/>
        <v>111</v>
      </c>
      <c r="R14" s="1551" t="s">
        <v>8</v>
      </c>
      <c r="S14" s="1552">
        <f t="shared" si="0"/>
        <v>100</v>
      </c>
      <c r="T14" s="1551" t="s">
        <v>8</v>
      </c>
      <c r="U14" s="1552">
        <f t="shared" si="1"/>
        <v>100</v>
      </c>
      <c r="V14" s="1551" t="s">
        <v>8</v>
      </c>
      <c r="W14" s="1552">
        <f t="shared" si="2"/>
        <v>100</v>
      </c>
      <c r="X14" s="1553"/>
      <c r="Y14" s="3351"/>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05"/>
      <c r="Q15" s="1144">
        <f t="shared" si="6"/>
        <v>111</v>
      </c>
      <c r="R15" s="1551" t="s">
        <v>8</v>
      </c>
      <c r="S15" s="1552">
        <f t="shared" si="0"/>
        <v>100</v>
      </c>
      <c r="T15" s="1551" t="s">
        <v>8</v>
      </c>
      <c r="U15" s="1552">
        <f t="shared" si="1"/>
        <v>100</v>
      </c>
      <c r="V15" s="1551" t="s">
        <v>8</v>
      </c>
      <c r="W15" s="1552">
        <f t="shared" si="2"/>
        <v>100</v>
      </c>
      <c r="X15" s="1553"/>
      <c r="Y15" s="3351"/>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05"/>
      <c r="Q16" s="1144">
        <f t="shared" si="6"/>
        <v>111</v>
      </c>
      <c r="R16" s="1551" t="s">
        <v>8</v>
      </c>
      <c r="S16" s="1552">
        <f t="shared" si="0"/>
        <v>100</v>
      </c>
      <c r="T16" s="1551" t="s">
        <v>8</v>
      </c>
      <c r="U16" s="1552">
        <f t="shared" si="1"/>
        <v>100</v>
      </c>
      <c r="V16" s="1551" t="s">
        <v>8</v>
      </c>
      <c r="W16" s="1552">
        <f t="shared" si="2"/>
        <v>100</v>
      </c>
      <c r="X16" s="1553"/>
      <c r="Y16" s="3351"/>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39" t="s">
        <v>540</v>
      </c>
      <c r="Q17" s="1555" t="str">
        <f t="shared" si="6"/>
        <v>产业集聚程度</v>
      </c>
      <c r="R17" s="1556" t="s">
        <v>8</v>
      </c>
      <c r="S17" s="1557">
        <f t="shared" si="0"/>
        <v>100</v>
      </c>
      <c r="T17" s="1556" t="s">
        <v>8</v>
      </c>
      <c r="U17" s="1557">
        <f t="shared" si="1"/>
        <v>100</v>
      </c>
      <c r="V17" s="1556" t="s">
        <v>8</v>
      </c>
      <c r="W17" s="1557">
        <f t="shared" si="2"/>
        <v>100</v>
      </c>
      <c r="X17" s="1550"/>
      <c r="Y17" s="3439"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40"/>
      <c r="Q18" s="1555"/>
      <c r="R18" s="1556"/>
      <c r="S18" s="1557"/>
      <c r="T18" s="1556"/>
      <c r="U18" s="1557"/>
      <c r="V18" s="1556"/>
      <c r="W18" s="1557"/>
      <c r="X18" s="1550"/>
      <c r="Y18" s="3440"/>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40"/>
      <c r="Q19" s="1555" t="str">
        <f>B19</f>
        <v>交通便捷度</v>
      </c>
      <c r="R19" s="1556" t="s">
        <v>8</v>
      </c>
      <c r="S19" s="1557">
        <f>F19</f>
        <v>100</v>
      </c>
      <c r="T19" s="1556" t="s">
        <v>8</v>
      </c>
      <c r="U19" s="1557">
        <f>H19</f>
        <v>100</v>
      </c>
      <c r="V19" s="1556" t="s">
        <v>8</v>
      </c>
      <c r="W19" s="1557">
        <f>J19</f>
        <v>100</v>
      </c>
      <c r="X19" s="1550"/>
      <c r="Y19" s="3440"/>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40"/>
      <c r="Q20" s="1555"/>
      <c r="R20" s="1556"/>
      <c r="S20" s="1557"/>
      <c r="T20" s="1556"/>
      <c r="U20" s="1557"/>
      <c r="V20" s="1556"/>
      <c r="W20" s="1557"/>
      <c r="X20" s="1550"/>
      <c r="Y20" s="3440"/>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40"/>
      <c r="Q21" s="1555" t="str">
        <f t="shared" ref="Q21:Q35" si="8">B21</f>
        <v>区域土地利用方向</v>
      </c>
      <c r="R21" s="1556" t="s">
        <v>8</v>
      </c>
      <c r="S21" s="1557">
        <f>F21</f>
        <v>100</v>
      </c>
      <c r="T21" s="1556" t="s">
        <v>8</v>
      </c>
      <c r="U21" s="1557">
        <f>H21</f>
        <v>100</v>
      </c>
      <c r="V21" s="1556" t="s">
        <v>8</v>
      </c>
      <c r="W21" s="1557">
        <f>J21</f>
        <v>100</v>
      </c>
      <c r="X21" s="1550"/>
      <c r="Y21" s="344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40"/>
      <c r="Q22" s="1555"/>
      <c r="R22" s="1556"/>
      <c r="S22" s="1557"/>
      <c r="T22" s="1556"/>
      <c r="U22" s="1557"/>
      <c r="V22" s="1556"/>
      <c r="W22" s="1557"/>
      <c r="X22" s="1550"/>
      <c r="Y22" s="3440"/>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40"/>
      <c r="Q23" s="1555" t="str">
        <f t="shared" si="8"/>
        <v>环境状况</v>
      </c>
      <c r="R23" s="1556" t="s">
        <v>8</v>
      </c>
      <c r="S23" s="1557">
        <f>F23</f>
        <v>100</v>
      </c>
      <c r="T23" s="1556" t="s">
        <v>8</v>
      </c>
      <c r="U23" s="1557">
        <f>H23</f>
        <v>100</v>
      </c>
      <c r="V23" s="1556" t="s">
        <v>8</v>
      </c>
      <c r="W23" s="1557">
        <f>J23</f>
        <v>100</v>
      </c>
      <c r="X23" s="1550"/>
      <c r="Y23" s="344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40"/>
      <c r="Q24" s="1555"/>
      <c r="R24" s="1556"/>
      <c r="S24" s="1557"/>
      <c r="T24" s="1556"/>
      <c r="U24" s="1557"/>
      <c r="V24" s="1556"/>
      <c r="W24" s="1557"/>
      <c r="X24" s="1550"/>
      <c r="Y24" s="3440"/>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40"/>
      <c r="Q25" s="1144" t="str">
        <f t="shared" si="8"/>
        <v>公共配套设施</v>
      </c>
      <c r="R25" s="1551" t="s">
        <v>8</v>
      </c>
      <c r="S25" s="1552">
        <f>F25</f>
        <v>100</v>
      </c>
      <c r="T25" s="1551" t="s">
        <v>8</v>
      </c>
      <c r="U25" s="1552">
        <f>H25</f>
        <v>100</v>
      </c>
      <c r="V25" s="1551" t="s">
        <v>8</v>
      </c>
      <c r="W25" s="1552">
        <f>J25</f>
        <v>100</v>
      </c>
      <c r="X25" s="1553"/>
      <c r="Y25" s="3440"/>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40"/>
      <c r="Q26" s="1144"/>
      <c r="R26" s="1551"/>
      <c r="S26" s="1552"/>
      <c r="T26" s="1551"/>
      <c r="U26" s="1552"/>
      <c r="V26" s="1551"/>
      <c r="W26" s="1552"/>
      <c r="X26" s="1553"/>
      <c r="Y26" s="3440"/>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40"/>
      <c r="Q27" s="2539" t="str">
        <f>B27</f>
        <v>基础设施水平</v>
      </c>
      <c r="R27" s="1551" t="s">
        <v>8</v>
      </c>
      <c r="S27" s="1552">
        <f>F27</f>
        <v>100</v>
      </c>
      <c r="T27" s="1551" t="s">
        <v>8</v>
      </c>
      <c r="U27" s="1552">
        <f>H27</f>
        <v>100</v>
      </c>
      <c r="V27" s="1551" t="s">
        <v>8</v>
      </c>
      <c r="W27" s="1552">
        <f>J27</f>
        <v>100</v>
      </c>
      <c r="X27" s="1553"/>
      <c r="Y27" s="3440"/>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40"/>
      <c r="Q28" s="2539"/>
      <c r="R28" s="1551"/>
      <c r="S28" s="1552"/>
      <c r="T28" s="1551"/>
      <c r="U28" s="1552"/>
      <c r="V28" s="1551"/>
      <c r="W28" s="1552"/>
      <c r="X28" s="1553"/>
      <c r="Y28" s="3440"/>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40"/>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440"/>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40"/>
      <c r="Q30" s="1555" t="str">
        <f t="shared" si="8"/>
        <v>毗邻道路的类型与等级</v>
      </c>
      <c r="R30" s="1556" t="s">
        <v>8</v>
      </c>
      <c r="S30" s="1557">
        <f t="shared" si="9"/>
        <v>100</v>
      </c>
      <c r="T30" s="1556" t="s">
        <v>8</v>
      </c>
      <c r="U30" s="1557">
        <f t="shared" si="10"/>
        <v>100</v>
      </c>
      <c r="V30" s="1556" t="s">
        <v>8</v>
      </c>
      <c r="W30" s="1557">
        <f t="shared" si="11"/>
        <v>100</v>
      </c>
      <c r="X30" s="1550"/>
      <c r="Y30" s="3440"/>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40"/>
      <c r="Q31" s="1555"/>
      <c r="R31" s="1556"/>
      <c r="S31" s="1557"/>
      <c r="T31" s="1556"/>
      <c r="U31" s="1557"/>
      <c r="V31" s="1556"/>
      <c r="W31" s="1557"/>
      <c r="X31" s="1550"/>
      <c r="Y31" s="3440"/>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40"/>
      <c r="Q32" s="1555" t="str">
        <f t="shared" si="8"/>
        <v>土地级别</v>
      </c>
      <c r="R32" s="1556" t="s">
        <v>8</v>
      </c>
      <c r="S32" s="1557">
        <f t="shared" si="9"/>
        <v>100</v>
      </c>
      <c r="T32" s="1556" t="s">
        <v>8</v>
      </c>
      <c r="U32" s="1557">
        <f t="shared" si="10"/>
        <v>100</v>
      </c>
      <c r="V32" s="1556" t="s">
        <v>8</v>
      </c>
      <c r="W32" s="1557">
        <f t="shared" si="11"/>
        <v>100</v>
      </c>
      <c r="X32" s="1550"/>
      <c r="Y32" s="3440"/>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40"/>
      <c r="Q33" s="1555">
        <f t="shared" si="8"/>
        <v>111</v>
      </c>
      <c r="R33" s="1556" t="s">
        <v>8</v>
      </c>
      <c r="S33" s="1557">
        <f t="shared" si="9"/>
        <v>100</v>
      </c>
      <c r="T33" s="1556" t="s">
        <v>8</v>
      </c>
      <c r="U33" s="1557">
        <f t="shared" si="10"/>
        <v>100</v>
      </c>
      <c r="V33" s="1556" t="s">
        <v>8</v>
      </c>
      <c r="W33" s="1557">
        <f t="shared" si="11"/>
        <v>100</v>
      </c>
      <c r="X33" s="1550"/>
      <c r="Y33" s="3440"/>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41" t="s">
        <v>550</v>
      </c>
      <c r="Q34" s="1555">
        <f t="shared" si="8"/>
        <v>111</v>
      </c>
      <c r="R34" s="1556" t="s">
        <v>8</v>
      </c>
      <c r="S34" s="1557">
        <f t="shared" si="9"/>
        <v>100</v>
      </c>
      <c r="T34" s="1556" t="s">
        <v>8</v>
      </c>
      <c r="U34" s="1557">
        <f t="shared" si="10"/>
        <v>100</v>
      </c>
      <c r="V34" s="1556" t="s">
        <v>8</v>
      </c>
      <c r="W34" s="1557">
        <f t="shared" si="11"/>
        <v>100</v>
      </c>
      <c r="X34" s="1550"/>
      <c r="Y34" s="3442"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42"/>
      <c r="Q35" s="1555">
        <f t="shared" si="8"/>
        <v>111</v>
      </c>
      <c r="R35" s="1560" t="s">
        <v>8</v>
      </c>
      <c r="S35" s="1561">
        <f t="shared" si="9"/>
        <v>100</v>
      </c>
      <c r="T35" s="1560" t="s">
        <v>8</v>
      </c>
      <c r="U35" s="1561">
        <f t="shared" si="10"/>
        <v>100</v>
      </c>
      <c r="V35" s="1560" t="s">
        <v>8</v>
      </c>
      <c r="W35" s="1561">
        <f t="shared" si="11"/>
        <v>100</v>
      </c>
      <c r="X35" s="1562"/>
      <c r="Y35" s="3442"/>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42"/>
      <c r="Q36" s="1555" t="str">
        <f>B36</f>
        <v>宗地面积</v>
      </c>
      <c r="R36" s="1556" t="s">
        <v>8</v>
      </c>
      <c r="S36" s="1557" t="e">
        <f t="shared" si="9"/>
        <v>#N/A</v>
      </c>
      <c r="T36" s="1556" t="s">
        <v>8</v>
      </c>
      <c r="U36" s="1557" t="e">
        <f t="shared" si="10"/>
        <v>#N/A</v>
      </c>
      <c r="V36" s="1556" t="s">
        <v>8</v>
      </c>
      <c r="W36" s="1557" t="e">
        <f t="shared" si="11"/>
        <v>#N/A</v>
      </c>
      <c r="X36" s="1550"/>
      <c r="Y36" s="3442"/>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42"/>
      <c r="Q37" s="1555" t="str">
        <f t="shared" ref="Q37:Q42" si="13">B37</f>
        <v>宗地形状</v>
      </c>
      <c r="R37" s="1556" t="s">
        <v>8</v>
      </c>
      <c r="S37" s="1557">
        <f t="shared" si="9"/>
        <v>100</v>
      </c>
      <c r="T37" s="1556" t="s">
        <v>8</v>
      </c>
      <c r="U37" s="1557">
        <f t="shared" si="10"/>
        <v>100</v>
      </c>
      <c r="V37" s="1556" t="s">
        <v>8</v>
      </c>
      <c r="W37" s="1557">
        <f t="shared" si="11"/>
        <v>100</v>
      </c>
      <c r="X37" s="1550"/>
      <c r="Y37" s="3442"/>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42"/>
      <c r="Q38" s="1555" t="str">
        <f t="shared" si="13"/>
        <v>宗地开发程度</v>
      </c>
      <c r="R38" s="1551" t="s">
        <v>8</v>
      </c>
      <c r="S38" s="1552">
        <f t="shared" si="9"/>
        <v>100</v>
      </c>
      <c r="T38" s="1551" t="s">
        <v>8</v>
      </c>
      <c r="U38" s="1552">
        <f t="shared" si="10"/>
        <v>100</v>
      </c>
      <c r="V38" s="1551" t="s">
        <v>8</v>
      </c>
      <c r="W38" s="1552">
        <f t="shared" si="11"/>
        <v>100</v>
      </c>
      <c r="X38" s="1553"/>
      <c r="Y38" s="3442"/>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2" t="s">
        <v>601</v>
      </c>
      <c r="Q39" s="1555" t="str">
        <f t="shared" si="13"/>
        <v>工程地质条件</v>
      </c>
      <c r="R39" s="1556" t="s">
        <v>8</v>
      </c>
      <c r="S39" s="1557">
        <f t="shared" si="9"/>
        <v>100</v>
      </c>
      <c r="T39" s="1556" t="s">
        <v>8</v>
      </c>
      <c r="U39" s="1557">
        <f t="shared" si="10"/>
        <v>100</v>
      </c>
      <c r="V39" s="1556" t="s">
        <v>8</v>
      </c>
      <c r="W39" s="1557">
        <f t="shared" si="11"/>
        <v>100</v>
      </c>
      <c r="X39" s="1550"/>
      <c r="Y39" s="3442"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42"/>
      <c r="Q40" s="1555">
        <f t="shared" si="13"/>
        <v>111</v>
      </c>
      <c r="R40" s="1556" t="s">
        <v>8</v>
      </c>
      <c r="S40" s="1557">
        <f t="shared" si="9"/>
        <v>100</v>
      </c>
      <c r="T40" s="1556" t="s">
        <v>8</v>
      </c>
      <c r="U40" s="1557">
        <f t="shared" si="10"/>
        <v>100</v>
      </c>
      <c r="V40" s="1556" t="s">
        <v>8</v>
      </c>
      <c r="W40" s="1557">
        <f t="shared" si="11"/>
        <v>100</v>
      </c>
      <c r="X40" s="1550"/>
      <c r="Y40" s="3442"/>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42"/>
      <c r="Q41" s="1555">
        <f t="shared" si="13"/>
        <v>111</v>
      </c>
      <c r="R41" s="1556" t="s">
        <v>8</v>
      </c>
      <c r="S41" s="1557">
        <f t="shared" si="9"/>
        <v>100</v>
      </c>
      <c r="T41" s="1556" t="s">
        <v>8</v>
      </c>
      <c r="U41" s="1557">
        <f t="shared" si="10"/>
        <v>100</v>
      </c>
      <c r="V41" s="1556" t="s">
        <v>8</v>
      </c>
      <c r="W41" s="1557">
        <f t="shared" si="11"/>
        <v>100</v>
      </c>
      <c r="X41" s="1550"/>
      <c r="Y41" s="3442"/>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42"/>
      <c r="Q42" s="1555">
        <f t="shared" si="13"/>
        <v>111</v>
      </c>
      <c r="R42" s="1560" t="s">
        <v>8</v>
      </c>
      <c r="S42" s="1561">
        <f t="shared" si="9"/>
        <v>100</v>
      </c>
      <c r="T42" s="1560" t="s">
        <v>8</v>
      </c>
      <c r="U42" s="1561">
        <f t="shared" si="10"/>
        <v>100</v>
      </c>
      <c r="V42" s="1560" t="s">
        <v>8</v>
      </c>
      <c r="W42" s="1561">
        <f t="shared" si="11"/>
        <v>100</v>
      </c>
      <c r="X42" s="1562"/>
      <c r="Y42" s="3442"/>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405" t="str">
        <f>A43</f>
        <v>成交单价</v>
      </c>
      <c r="Q43" s="3405"/>
      <c r="R43" s="3406">
        <f>E43</f>
        <v>0</v>
      </c>
      <c r="S43" s="3406"/>
      <c r="T43" s="3406">
        <f>G43</f>
        <v>0</v>
      </c>
      <c r="U43" s="3406"/>
      <c r="V43" s="3406">
        <f>I43</f>
        <v>0</v>
      </c>
      <c r="W43" s="3406"/>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405" t="str">
        <f>A44</f>
        <v>比较价格（元/平方米）</v>
      </c>
      <c r="Q44" s="3405"/>
      <c r="R44" s="3407" t="e">
        <f>ROUND(PRODUCT(R43,AA9:AA42),0)</f>
        <v>#DIV/0!</v>
      </c>
      <c r="S44" s="3407"/>
      <c r="T44" s="3407" t="e">
        <f>ROUND(PRODUCT(T43,AB9:AB42),0)</f>
        <v>#DIV/0!</v>
      </c>
      <c r="U44" s="3407"/>
      <c r="V44" s="3407" t="e">
        <f>ROUND(PRODUCT(V43,AC9:AC42),0)</f>
        <v>#DIV/0!</v>
      </c>
      <c r="W44" s="3407"/>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02" t="str">
        <f>A45</f>
        <v>估价对象XX用房的比较价格（楼面单价，元/平方米）</v>
      </c>
      <c r="Q45" s="3403"/>
      <c r="R45" s="3404" t="e">
        <f>ROUND(AVERAGE(R44:V44),0)</f>
        <v>#DIV/0!</v>
      </c>
      <c r="S45" s="3404"/>
      <c r="T45" s="3404"/>
      <c r="U45" s="3404"/>
      <c r="V45" s="3404"/>
      <c r="W45" s="3404"/>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9" t="s">
        <v>2281</v>
      </c>
      <c r="H52" s="3450"/>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132579.91</v>
      </c>
      <c r="F53" s="1932" t="e">
        <f t="shared" ref="F53:F62" si="14">ROUND(B53*E53/10000,0)</f>
        <v>#DIV/0!</v>
      </c>
      <c r="G53" s="3451"/>
      <c r="H53" s="345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53"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5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5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5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68319.509999999995</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7">EDATE(D65,-3)</f>
        <v>43739</v>
      </c>
      <c r="F65" s="2751">
        <f t="shared" si="17"/>
        <v>43647</v>
      </c>
      <c r="G65" s="2751">
        <f t="shared" si="17"/>
        <v>43556</v>
      </c>
      <c r="H65" s="2751">
        <f t="shared" si="17"/>
        <v>43466</v>
      </c>
      <c r="I65" s="2751">
        <f t="shared" si="17"/>
        <v>43374</v>
      </c>
      <c r="J65" s="2751">
        <f t="shared" si="17"/>
        <v>43282</v>
      </c>
      <c r="K65" s="2751">
        <f t="shared" si="17"/>
        <v>43191</v>
      </c>
      <c r="L65" s="2751">
        <f t="shared" si="17"/>
        <v>43101</v>
      </c>
      <c r="M65" s="2751">
        <f t="shared" si="17"/>
        <v>43009</v>
      </c>
      <c r="N65" s="2751">
        <f t="shared" si="17"/>
        <v>42917</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2020-2</v>
      </c>
      <c r="D67" s="2753" t="str">
        <f t="shared" ref="D67:N67" si="18">YEAR(D65)&amp;"-"&amp;ROUNDUP(MONTH(D65)/3,0)</f>
        <v>2020-1</v>
      </c>
      <c r="E67" s="2753" t="str">
        <f t="shared" si="18"/>
        <v>2019-4</v>
      </c>
      <c r="F67" s="2753" t="str">
        <f t="shared" si="18"/>
        <v>2019-3</v>
      </c>
      <c r="G67" s="2753" t="str">
        <f t="shared" si="18"/>
        <v>2019-2</v>
      </c>
      <c r="H67" s="2753" t="str">
        <f t="shared" si="18"/>
        <v>2019-1</v>
      </c>
      <c r="I67" s="2753" t="str">
        <f t="shared" si="18"/>
        <v>2018-4</v>
      </c>
      <c r="J67" s="2753" t="str">
        <f t="shared" si="18"/>
        <v>2018-3</v>
      </c>
      <c r="K67" s="2753" t="str">
        <f t="shared" si="18"/>
        <v>2018-2</v>
      </c>
      <c r="L67" s="2753" t="str">
        <f t="shared" si="18"/>
        <v>2018-1</v>
      </c>
      <c r="M67" s="2753" t="str">
        <f t="shared" si="18"/>
        <v>2017-4</v>
      </c>
      <c r="N67" s="2753" t="str">
        <f t="shared" si="18"/>
        <v>2017-3</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北京市平均增长率1.29%</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f>IF(F3="宗地容积率",'数据-汇总表'!I4,IF(F3="估价对象容积率",'数据-汇总表'!I6,'数据-汇总表'!I7))</f>
        <v>1.94</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65"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1.94</v>
      </c>
      <c r="AA7" s="2174"/>
      <c r="AB7" s="2174"/>
      <c r="AC7" s="2175"/>
      <c r="AD7" s="2880"/>
      <c r="AE7" s="2880"/>
      <c r="AF7" s="2880"/>
      <c r="AG7" s="2880"/>
      <c r="AH7" s="2880"/>
      <c r="AI7" s="2880"/>
      <c r="AJ7" s="2881"/>
    </row>
    <row r="8" spans="1:39" ht="15">
      <c r="A8" s="3466"/>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55" t="s">
        <v>2779</v>
      </c>
      <c r="X8" s="3456"/>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66"/>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54"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66"/>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5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66"/>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54" t="s">
        <v>2777</v>
      </c>
      <c r="X11" s="1045" t="s">
        <v>2762</v>
      </c>
      <c r="Y11" s="1635">
        <f>$G$3</f>
        <v>1.94</v>
      </c>
      <c r="Z11" s="1635">
        <f t="shared" ref="Z11:AJ11" si="3">$G$3</f>
        <v>1.94</v>
      </c>
      <c r="AA11" s="1635">
        <f t="shared" si="3"/>
        <v>1.94</v>
      </c>
      <c r="AB11" s="1635">
        <f t="shared" si="3"/>
        <v>1.94</v>
      </c>
      <c r="AC11" s="1635">
        <f t="shared" si="3"/>
        <v>1.94</v>
      </c>
      <c r="AD11" s="1635">
        <f t="shared" si="3"/>
        <v>1.94</v>
      </c>
      <c r="AE11" s="1635">
        <f t="shared" si="3"/>
        <v>1.94</v>
      </c>
      <c r="AF11" s="1635">
        <f t="shared" si="3"/>
        <v>1.94</v>
      </c>
      <c r="AG11" s="1635">
        <f t="shared" si="3"/>
        <v>1.94</v>
      </c>
      <c r="AH11" s="1635">
        <f t="shared" si="3"/>
        <v>1.94</v>
      </c>
      <c r="AI11" s="1635">
        <f t="shared" si="3"/>
        <v>1.94</v>
      </c>
      <c r="AJ11" s="1635">
        <f t="shared" si="3"/>
        <v>1.94</v>
      </c>
    </row>
    <row r="12" spans="1:39" ht="25.5" thickBot="1">
      <c r="A12" s="3465"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54"/>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67"/>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54"/>
      <c r="X13" s="2885"/>
      <c r="Y13" s="2884">
        <f>(-0.163*(Y12^2)-0.59*Y12+7617)*(10^(-4))/Y11</f>
        <v>0.39262886597938146</v>
      </c>
      <c r="Z13" s="2884">
        <f t="shared" ref="Z13:AJ13" si="5">(-0.163*(Z12^2)-0.59*Z12+7617)*(10^(-4))/Z11</f>
        <v>0.39262886597938146</v>
      </c>
      <c r="AA13" s="2884">
        <f t="shared" si="5"/>
        <v>0.39262886597938146</v>
      </c>
      <c r="AB13" s="2884">
        <f t="shared" si="5"/>
        <v>0.39262886597938146</v>
      </c>
      <c r="AC13" s="2884">
        <f t="shared" si="5"/>
        <v>0.39262886597938146</v>
      </c>
      <c r="AD13" s="2884">
        <f t="shared" si="5"/>
        <v>0.39262886597938146</v>
      </c>
      <c r="AE13" s="2884">
        <f t="shared" si="5"/>
        <v>0.39262886597938146</v>
      </c>
      <c r="AF13" s="2884">
        <f t="shared" si="5"/>
        <v>0.39262886597938146</v>
      </c>
      <c r="AG13" s="2884">
        <f t="shared" si="5"/>
        <v>0.39262886597938146</v>
      </c>
      <c r="AH13" s="2884">
        <f t="shared" si="5"/>
        <v>0.39262886597938146</v>
      </c>
      <c r="AI13" s="2884">
        <f t="shared" si="5"/>
        <v>0.39262886597938146</v>
      </c>
      <c r="AJ13" s="2884">
        <f t="shared" si="5"/>
        <v>0.39262886597938146</v>
      </c>
    </row>
    <row r="14" spans="1:39" ht="12.75" customHeight="1">
      <c r="A14" s="3467"/>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68"/>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65" t="s">
        <v>1837</v>
      </c>
      <c r="B16" s="1420" t="s">
        <v>950</v>
      </c>
      <c r="C16" s="1049" t="e">
        <f>ROUND(IF(F17="与级别开发程度一致",0,(G17-E17)/C17),0)</f>
        <v>#DIV/0!</v>
      </c>
      <c r="D16" s="3462" t="s">
        <v>954</v>
      </c>
      <c r="E16" s="3463"/>
      <c r="F16" s="3462" t="s">
        <v>951</v>
      </c>
      <c r="G16" s="3463"/>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69"/>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43935</v>
      </c>
      <c r="H19" s="1460" t="s">
        <v>2988</v>
      </c>
      <c r="I19" s="2737" t="str">
        <f>IF(H19="季度增幅（自定义）",SUMIF(N21:N24,E2,O21:O24),"")</f>
        <v/>
      </c>
      <c r="J19" s="1456"/>
      <c r="K19" s="3143"/>
      <c r="L19" s="2986" t="s">
        <v>2837</v>
      </c>
      <c r="M19" s="2987">
        <f>ROUND(SUMIF(地价!B2:F2,E2,地价!B30:F30),0)</f>
        <v>0</v>
      </c>
      <c r="N19" s="2739" t="s">
        <v>1676</v>
      </c>
      <c r="O19" s="2738">
        <f>ROUNDDOWN(DATEDIF(E19,G19,"M")/3,0)</f>
        <v>25</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f>IF(B21="容积率修正",IF(G3&lt;=10,D22,J22),C23)</f>
        <v>0</v>
      </c>
      <c r="D21" s="1466"/>
      <c r="E21" s="1466"/>
      <c r="F21" s="1466"/>
      <c r="G21" s="1466"/>
      <c r="H21" s="1466"/>
      <c r="I21" s="1466"/>
      <c r="J21" s="1467"/>
      <c r="K21" s="3143"/>
      <c r="L21" s="1466"/>
      <c r="M21" s="1466"/>
      <c r="N21" s="1463" t="s">
        <v>975</v>
      </c>
      <c r="O21" s="1526"/>
      <c r="P21" s="2729">
        <f>SUMPRODUCT((地价!A3:A30=YEAR(G19)&amp;"-"&amp;ROUNDUP(MONTH(G19)/3,0))*(地价!AD2:AH2=N21)*(地价!AD3:AH30))</f>
        <v>1.29E-2</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f>IF(E22=G22,F22,IF(G3&lt;=10,ROUND(F22+(H22-F22)*(G3-E22)/(G22-E22),4),"——"))</f>
        <v>0</v>
      </c>
      <c r="E22" s="1036">
        <f>ROUNDDOWN(G3,1)</f>
        <v>1.9</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6"/>
      <c r="M22" s="1466"/>
      <c r="N22" s="1463" t="s">
        <v>978</v>
      </c>
      <c r="O22" s="1526"/>
      <c r="P22" s="2729">
        <f>SUMPRODUCT((地价!A3:A30=YEAR(G19)&amp;"-"&amp;ROUNDUP(MONTH(G19)/3,0))*(地价!AD2:AH2=N22)*(地价!AD3:AH30))</f>
        <v>1.29E-2</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923</v>
      </c>
      <c r="O23" s="1526"/>
      <c r="P23" s="2729">
        <f>SUMPRODUCT((地价!A3:A30=YEAR(G19)&amp;"-"&amp;ROUNDUP(MONTH(G19)/3,0))*(地价!AD2:AH2=N23)*(地价!AD3:AH30))</f>
        <v>2.0199999999999999E-2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1.29E-2</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1.8499999999999999E-2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72"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3"/>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3"/>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4"/>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70" t="s">
        <v>1633</v>
      </c>
      <c r="B90" s="3470"/>
      <c r="C90" s="3470"/>
      <c r="D90" s="3470"/>
      <c r="E90" s="3470"/>
      <c r="F90" s="3470"/>
      <c r="G90" s="3470"/>
      <c r="H90" s="3470"/>
      <c r="I90" s="3470"/>
      <c r="J90" s="3470"/>
      <c r="K90" s="2411"/>
      <c r="L90" s="2411"/>
      <c r="M90" s="2411"/>
      <c r="N90" s="2411"/>
    </row>
    <row r="91" spans="1:40">
      <c r="A91" s="3471" t="s">
        <v>1443</v>
      </c>
      <c r="B91" s="3471" t="s">
        <v>1634</v>
      </c>
      <c r="C91" s="1133" t="s">
        <v>1635</v>
      </c>
      <c r="D91" s="1134"/>
      <c r="E91" s="1134"/>
      <c r="F91" s="1134"/>
      <c r="G91" s="1134"/>
      <c r="H91" s="1134"/>
      <c r="I91" s="1134"/>
      <c r="J91" s="1135"/>
      <c r="K91" s="1127"/>
      <c r="L91" s="1127"/>
      <c r="M91" s="1127"/>
      <c r="N91" s="1127"/>
    </row>
    <row r="92" spans="1:40">
      <c r="A92" s="3471"/>
      <c r="B92" s="3471"/>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8"/>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5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7" t="s">
        <v>1637</v>
      </c>
      <c r="B101" s="1140" t="s">
        <v>906</v>
      </c>
      <c r="C101" s="1141">
        <f>$G$3</f>
        <v>1.94</v>
      </c>
      <c r="D101" s="1141">
        <f t="shared" ref="D101:N101" si="30">$G$3</f>
        <v>1.94</v>
      </c>
      <c r="E101" s="1141">
        <f t="shared" si="30"/>
        <v>1.94</v>
      </c>
      <c r="F101" s="1141">
        <f t="shared" si="30"/>
        <v>1.94</v>
      </c>
      <c r="G101" s="1141">
        <f t="shared" si="30"/>
        <v>1.94</v>
      </c>
      <c r="H101" s="1141">
        <f t="shared" si="30"/>
        <v>1.94</v>
      </c>
      <c r="I101" s="1141">
        <f t="shared" si="30"/>
        <v>1.94</v>
      </c>
      <c r="J101" s="1141">
        <f t="shared" si="30"/>
        <v>1.94</v>
      </c>
      <c r="K101" s="1141">
        <f t="shared" si="30"/>
        <v>1.94</v>
      </c>
      <c r="L101" s="1141">
        <f t="shared" si="30"/>
        <v>1.94</v>
      </c>
      <c r="M101" s="1141">
        <f t="shared" si="30"/>
        <v>1.94</v>
      </c>
      <c r="N101" s="1141">
        <f t="shared" si="30"/>
        <v>1.94</v>
      </c>
    </row>
    <row r="102" spans="1:14">
      <c r="A102" s="3458"/>
      <c r="B102" s="1136">
        <v>1</v>
      </c>
      <c r="C102" s="1137">
        <f>1.9362/C101</f>
        <v>0.99804123711340209</v>
      </c>
      <c r="D102" s="1137">
        <f>1.9362/D101</f>
        <v>0.99804123711340209</v>
      </c>
      <c r="E102" s="1137">
        <f>1.8629/E101</f>
        <v>0.96025773195876296</v>
      </c>
      <c r="F102" s="1137">
        <f>1.8629/F101</f>
        <v>0.96025773195876296</v>
      </c>
      <c r="G102" s="1137">
        <f>1.8629/G101</f>
        <v>0.96025773195876296</v>
      </c>
      <c r="H102" s="1137">
        <f>1.8629/H101</f>
        <v>0.96025773195876296</v>
      </c>
      <c r="I102" s="1137">
        <f>1.8629/I101</f>
        <v>0.96025773195876296</v>
      </c>
      <c r="J102" s="1137">
        <f>1.942/J101</f>
        <v>1.0010309278350515</v>
      </c>
      <c r="K102" s="1137">
        <f>1.942/K101</f>
        <v>1.0010309278350515</v>
      </c>
      <c r="L102" s="1137">
        <f>1.942/L101</f>
        <v>1.0010309278350515</v>
      </c>
      <c r="M102" s="1137">
        <f>1.942/M101</f>
        <v>1.0010309278350515</v>
      </c>
      <c r="N102" s="1137">
        <f>1.942/N101</f>
        <v>1.0010309278350515</v>
      </c>
    </row>
    <row r="103" spans="1:14">
      <c r="A103" s="3458"/>
      <c r="B103" s="1136">
        <v>2</v>
      </c>
      <c r="C103" s="1137">
        <f>1.4198/C101</f>
        <v>0.73185567010309283</v>
      </c>
      <c r="D103" s="1137">
        <f>1.4198/D101</f>
        <v>0.73185567010309283</v>
      </c>
      <c r="E103" s="1137">
        <f>1.3372/E101</f>
        <v>0.68927835051546393</v>
      </c>
      <c r="F103" s="1137">
        <f>1.3372/F101</f>
        <v>0.68927835051546393</v>
      </c>
      <c r="G103" s="1137">
        <f>1.3372/G101</f>
        <v>0.68927835051546393</v>
      </c>
      <c r="H103" s="1137">
        <f>1.3372/H101</f>
        <v>0.68927835051546393</v>
      </c>
      <c r="I103" s="1137">
        <f>1.3372/I101</f>
        <v>0.68927835051546393</v>
      </c>
      <c r="J103" s="1137">
        <f>1.2799/J101</f>
        <v>0.65974226804123715</v>
      </c>
      <c r="K103" s="1137">
        <f>1.2799/K101</f>
        <v>0.65974226804123715</v>
      </c>
      <c r="L103" s="1137">
        <f>1.2799/L101</f>
        <v>0.65974226804123715</v>
      </c>
      <c r="M103" s="1137">
        <f>1.2799/M101</f>
        <v>0.65974226804123715</v>
      </c>
      <c r="N103" s="1137">
        <f>1.2799/N101</f>
        <v>0.65974226804123715</v>
      </c>
    </row>
    <row r="104" spans="1:14">
      <c r="A104" s="3458"/>
      <c r="B104" s="1136">
        <v>3</v>
      </c>
      <c r="C104" s="1137">
        <f>1.1594/C101</f>
        <v>0.59762886597938147</v>
      </c>
      <c r="D104" s="1137">
        <f>1.1594/D101</f>
        <v>0.59762886597938147</v>
      </c>
      <c r="E104" s="1137">
        <f>1.0788/E101</f>
        <v>0.55608247422680412</v>
      </c>
      <c r="F104" s="1137">
        <f>1.0788/F101</f>
        <v>0.55608247422680412</v>
      </c>
      <c r="G104" s="1137">
        <f>1.0788/G101</f>
        <v>0.55608247422680412</v>
      </c>
      <c r="H104" s="1137">
        <f>1.0788/H101</f>
        <v>0.55608247422680412</v>
      </c>
      <c r="I104" s="1137">
        <f>1.0788/I101</f>
        <v>0.55608247422680412</v>
      </c>
      <c r="J104" s="1137">
        <f>1.0072/J101</f>
        <v>0.51917525773195883</v>
      </c>
      <c r="K104" s="1137">
        <f>1.0072/K101</f>
        <v>0.51917525773195883</v>
      </c>
      <c r="L104" s="1137">
        <f>1.0072/L101</f>
        <v>0.51917525773195883</v>
      </c>
      <c r="M104" s="1137">
        <f>1.0072/M101</f>
        <v>0.51917525773195883</v>
      </c>
      <c r="N104" s="1137">
        <f>1.0072/N101</f>
        <v>0.51917525773195883</v>
      </c>
    </row>
    <row r="105" spans="1:14">
      <c r="A105" s="3458"/>
      <c r="B105" s="1136">
        <v>4</v>
      </c>
      <c r="C105" s="1137">
        <f>0.9622/C101</f>
        <v>0.49597938144329901</v>
      </c>
      <c r="D105" s="1137">
        <f>0.9622/D101</f>
        <v>0.49597938144329901</v>
      </c>
      <c r="E105" s="1137">
        <f>0.8656/E101</f>
        <v>0.44618556701030931</v>
      </c>
      <c r="F105" s="1137">
        <f>0.8656/F101</f>
        <v>0.44618556701030931</v>
      </c>
      <c r="G105" s="1137">
        <f>0.8656/G101</f>
        <v>0.44618556701030931</v>
      </c>
      <c r="H105" s="1137">
        <f>0.8656/H101</f>
        <v>0.44618556701030931</v>
      </c>
      <c r="I105" s="1137">
        <f>0.8656/I101</f>
        <v>0.44618556701030931</v>
      </c>
      <c r="J105" s="1137">
        <f>0.7525/J101</f>
        <v>0.38788659793814434</v>
      </c>
      <c r="K105" s="1137">
        <f>0.7525/K101</f>
        <v>0.38788659793814434</v>
      </c>
      <c r="L105" s="1137">
        <f>0.7525/L101</f>
        <v>0.38788659793814434</v>
      </c>
      <c r="M105" s="1137">
        <f>0.7525/M101</f>
        <v>0.38788659793814434</v>
      </c>
      <c r="N105" s="1137">
        <f>0.7525/N101</f>
        <v>0.38788659793814434</v>
      </c>
    </row>
    <row r="106" spans="1:14">
      <c r="A106" s="3458"/>
      <c r="B106" s="1136">
        <v>5</v>
      </c>
      <c r="C106" s="1137">
        <f>0.8417/C101</f>
        <v>0.43386597938144333</v>
      </c>
      <c r="D106" s="1137">
        <f>0.8417/D101</f>
        <v>0.43386597938144333</v>
      </c>
      <c r="E106" s="1137">
        <f>0.7371/E101</f>
        <v>0.37994845360824742</v>
      </c>
      <c r="F106" s="1137">
        <f>0.7371/F101</f>
        <v>0.37994845360824742</v>
      </c>
      <c r="G106" s="1137">
        <f>0.7371/G101</f>
        <v>0.37994845360824742</v>
      </c>
      <c r="H106" s="1137">
        <f>0.7371/H101</f>
        <v>0.37994845360824742</v>
      </c>
      <c r="I106" s="1137">
        <f>0.7371/I101</f>
        <v>0.37994845360824742</v>
      </c>
      <c r="J106" s="1137">
        <f>0.5659/J101</f>
        <v>0.29170103092783506</v>
      </c>
      <c r="K106" s="1137">
        <f>0.5659/K101</f>
        <v>0.29170103092783506</v>
      </c>
      <c r="L106" s="1137">
        <f>0.5659/L101</f>
        <v>0.29170103092783506</v>
      </c>
      <c r="M106" s="1137">
        <f>0.5659/M101</f>
        <v>0.29170103092783506</v>
      </c>
      <c r="N106" s="1137">
        <f>0.5659/N101</f>
        <v>0.29170103092783506</v>
      </c>
    </row>
    <row r="107" spans="1:14">
      <c r="A107" s="3458"/>
      <c r="B107" s="1136">
        <v>6</v>
      </c>
      <c r="C107" s="1137">
        <f>0.7608/C101</f>
        <v>0.39216494845360828</v>
      </c>
      <c r="D107" s="1137">
        <f>0.7608/D101</f>
        <v>0.39216494845360828</v>
      </c>
      <c r="E107" s="1137">
        <f>0.6482/E101</f>
        <v>0.33412371134020619</v>
      </c>
      <c r="F107" s="1137">
        <f>0.6482/F101</f>
        <v>0.33412371134020619</v>
      </c>
      <c r="G107" s="1137">
        <f>0.6482/G101</f>
        <v>0.33412371134020619</v>
      </c>
      <c r="H107" s="1137">
        <f>0.6482/H101</f>
        <v>0.33412371134020619</v>
      </c>
      <c r="I107" s="1137">
        <f>0.6482/I101</f>
        <v>0.33412371134020619</v>
      </c>
      <c r="J107" s="1137">
        <f>0.4525/J101</f>
        <v>0.23324742268041238</v>
      </c>
      <c r="K107" s="1137">
        <f>0.4525/K101</f>
        <v>0.23324742268041238</v>
      </c>
      <c r="L107" s="1137">
        <f>0.4525/L101</f>
        <v>0.23324742268041238</v>
      </c>
      <c r="M107" s="1137">
        <f>0.4525/M101</f>
        <v>0.23324742268041238</v>
      </c>
      <c r="N107" s="1137">
        <f>0.4525/N101</f>
        <v>0.23324742268041238</v>
      </c>
    </row>
    <row r="108" spans="1:14">
      <c r="A108" s="3458"/>
      <c r="B108" s="3460"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59"/>
      <c r="B109" s="3461"/>
      <c r="C109" s="1139">
        <f>(-0.163*(C108^2)-0.59*C108+7617)*(10^(-4))/C101</f>
        <v>0.39184783505154641</v>
      </c>
      <c r="D109" s="1139">
        <f>(-0.163*(D108^2)-0.59*D108+7617)*(10^(-4))/D101</f>
        <v>0.39184783505154641</v>
      </c>
      <c r="E109" s="1139">
        <f>(-0.161*(E108^2)-7.509*E108+6533)*(10^(-4))/E101</f>
        <v>0.33312494845360824</v>
      </c>
      <c r="F109" s="1139">
        <f>(-0.161*(F108^2)-7.509*F108+6533)*(10^(-4))/F101</f>
        <v>0.33312494845360824</v>
      </c>
      <c r="G109" s="1139">
        <f>(-0.161*(G108^2)-7.509*G108+6533)*(10^(-4))/G101</f>
        <v>0.33312494845360824</v>
      </c>
      <c r="H109" s="1139">
        <f>(-0.161*(H108^2)-7.509*H108+6533)*(10^(-4))/H101</f>
        <v>0.33312494845360824</v>
      </c>
      <c r="I109" s="1139">
        <f>(-0.161*(I108^2)-7.509*I108+6533)*(10^(-4))/I101</f>
        <v>0.33312494845360824</v>
      </c>
      <c r="J109" s="1139">
        <f>(-0.214*(J108^2)-21.991*J108+4665)*(10^(-4))/J101</f>
        <v>0.23068948453608251</v>
      </c>
      <c r="K109" s="1139">
        <f>(-0.214*(K108^2)-21.991*K108+4665)*(10^(-4))/K101</f>
        <v>0.23068948453608251</v>
      </c>
      <c r="L109" s="1139">
        <f>(-0.214*(L108^2)-21.991*L108+4665)*(10^(-4))/L101</f>
        <v>0.23068948453608251</v>
      </c>
      <c r="M109" s="1139">
        <f>(-0.214*(M108^2)-21.991*M108+4665)*(10^(-4))/M101</f>
        <v>0.23068948453608251</v>
      </c>
      <c r="N109" s="1139">
        <f>(-0.214*(N108^2)-21.991*N108+4665)*(10^(-4))/N101</f>
        <v>0.23068948453608251</v>
      </c>
    </row>
    <row r="110" spans="1:14">
      <c r="A110" s="3464" t="s">
        <v>1639</v>
      </c>
      <c r="B110" s="3464"/>
      <c r="C110" s="3464"/>
      <c r="D110" s="3464"/>
      <c r="E110" s="3464"/>
      <c r="F110" s="3464"/>
      <c r="G110" s="3464"/>
      <c r="H110" s="3464"/>
      <c r="I110" s="3464"/>
      <c r="J110" s="3464"/>
      <c r="K110" s="2409"/>
      <c r="L110" s="2409"/>
      <c r="M110" s="2409"/>
      <c r="N110" s="2409"/>
    </row>
    <row r="112" spans="1:14" ht="12.75" thickBot="1"/>
    <row r="113" spans="1:13" ht="25.5" thickBot="1">
      <c r="A113" s="1013" t="s">
        <v>896</v>
      </c>
      <c r="B113" s="2412">
        <f>G3</f>
        <v>1.94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0.9153</v>
      </c>
      <c r="C115" s="1027">
        <f>B115</f>
        <v>0.9153</v>
      </c>
      <c r="D115" s="1027">
        <f>ROUND(0.8331-0.0109*B113,4)</f>
        <v>0.81200000000000006</v>
      </c>
      <c r="E115" s="1027">
        <f>D115</f>
        <v>0.81200000000000006</v>
      </c>
      <c r="F115" s="1027">
        <f>E115</f>
        <v>0.81200000000000006</v>
      </c>
      <c r="G115" s="1027">
        <f>F115</f>
        <v>0.81200000000000006</v>
      </c>
      <c r="H115" s="1027">
        <f>G115</f>
        <v>0.81200000000000006</v>
      </c>
      <c r="I115" s="1027">
        <f>ROUND(0.689-0.0155*B113,4)</f>
        <v>0.65890000000000004</v>
      </c>
      <c r="J115" s="1027">
        <f t="shared" ref="J115:M118" si="32">I115</f>
        <v>0.65890000000000004</v>
      </c>
      <c r="K115" s="1027">
        <f t="shared" si="32"/>
        <v>0.65890000000000004</v>
      </c>
      <c r="L115" s="1027">
        <f t="shared" si="32"/>
        <v>0.65890000000000004</v>
      </c>
      <c r="M115" s="1028">
        <f t="shared" si="32"/>
        <v>0.65890000000000004</v>
      </c>
    </row>
    <row r="116" spans="1:13" ht="12.75">
      <c r="A116" s="1026" t="s">
        <v>901</v>
      </c>
      <c r="B116" s="1027">
        <f>ROUND(0.949-0.012*B113,4)</f>
        <v>0.92569999999999997</v>
      </c>
      <c r="C116" s="1027">
        <f>B116</f>
        <v>0.92569999999999997</v>
      </c>
      <c r="D116" s="1027">
        <f>ROUND(0.8567-0.013*B113,4)</f>
        <v>0.83150000000000002</v>
      </c>
      <c r="E116" s="1027">
        <f t="shared" ref="E116:H117" si="33">D116</f>
        <v>0.83150000000000002</v>
      </c>
      <c r="F116" s="1027">
        <f t="shared" si="33"/>
        <v>0.83150000000000002</v>
      </c>
      <c r="G116" s="1027">
        <f t="shared" si="33"/>
        <v>0.83150000000000002</v>
      </c>
      <c r="H116" s="1027">
        <f t="shared" si="33"/>
        <v>0.83150000000000002</v>
      </c>
      <c r="I116" s="1027">
        <f>ROUND(0.7694-0.014*B113,4)</f>
        <v>0.74219999999999997</v>
      </c>
      <c r="J116" s="1027">
        <f t="shared" si="32"/>
        <v>0.74219999999999997</v>
      </c>
      <c r="K116" s="1027">
        <f t="shared" si="32"/>
        <v>0.74219999999999997</v>
      </c>
      <c r="L116" s="1027">
        <f t="shared" si="32"/>
        <v>0.74219999999999997</v>
      </c>
      <c r="M116" s="1028">
        <f t="shared" si="32"/>
        <v>0.74219999999999997</v>
      </c>
    </row>
    <row r="117" spans="1:13" ht="12.75">
      <c r="A117" s="1029" t="s">
        <v>902</v>
      </c>
      <c r="B117" s="1027">
        <f>ROUND(0.8808-0.006*B113,4)</f>
        <v>0.86919999999999997</v>
      </c>
      <c r="C117" s="1027">
        <f>B117</f>
        <v>0.86919999999999997</v>
      </c>
      <c r="D117" s="1027">
        <f>ROUND(0.8748-0.008*B113,4)</f>
        <v>0.85929999999999995</v>
      </c>
      <c r="E117" s="1027">
        <f t="shared" si="33"/>
        <v>0.85929999999999995</v>
      </c>
      <c r="F117" s="1027">
        <f t="shared" si="33"/>
        <v>0.85929999999999995</v>
      </c>
      <c r="G117" s="1027">
        <f t="shared" si="33"/>
        <v>0.85929999999999995</v>
      </c>
      <c r="H117" s="1027">
        <f t="shared" si="33"/>
        <v>0.85929999999999995</v>
      </c>
      <c r="I117" s="1027">
        <f>ROUND(0.7412-0.0095*B113,4)</f>
        <v>0.7228</v>
      </c>
      <c r="J117" s="1027">
        <f t="shared" si="32"/>
        <v>0.7228</v>
      </c>
      <c r="K117" s="1027">
        <f t="shared" si="32"/>
        <v>0.7228</v>
      </c>
      <c r="L117" s="1027">
        <f t="shared" si="32"/>
        <v>0.7228</v>
      </c>
      <c r="M117" s="1028">
        <f t="shared" si="32"/>
        <v>0.7228</v>
      </c>
    </row>
    <row r="118" spans="1:13" ht="13.5" thickBot="1">
      <c r="A118" s="1030" t="s">
        <v>903</v>
      </c>
      <c r="B118" s="1031">
        <f>ROUND(0.7275-0.01*B113,4)</f>
        <v>0.70809999999999995</v>
      </c>
      <c r="C118" s="1031">
        <f>B118</f>
        <v>0.70809999999999995</v>
      </c>
      <c r="D118" s="1031">
        <f>ROUND(0.7043-0.012*B113,4)</f>
        <v>0.68100000000000005</v>
      </c>
      <c r="E118" s="1031">
        <f>D118</f>
        <v>0.68100000000000005</v>
      </c>
      <c r="F118" s="1031">
        <f>E118</f>
        <v>0.68100000000000005</v>
      </c>
      <c r="G118" s="1031">
        <f>ROUND(0.6299-0.0122*B113,4)</f>
        <v>0.60619999999999996</v>
      </c>
      <c r="H118" s="1031">
        <f>G118</f>
        <v>0.60619999999999996</v>
      </c>
      <c r="I118" s="1031">
        <f>ROUND(0.5667-0.0136*B113,4)</f>
        <v>0.5403</v>
      </c>
      <c r="J118" s="1031">
        <f t="shared" si="32"/>
        <v>0.5403</v>
      </c>
      <c r="K118" s="1031">
        <f t="shared" si="32"/>
        <v>0.5403</v>
      </c>
      <c r="L118" s="1031">
        <f t="shared" si="32"/>
        <v>0.5403</v>
      </c>
      <c r="M118" s="1032">
        <f t="shared" si="32"/>
        <v>0.5403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71" t="s">
        <v>1007</v>
      </c>
      <c r="B18" s="1147" t="s">
        <v>1446</v>
      </c>
      <c r="C18" s="1124" t="s">
        <v>1447</v>
      </c>
      <c r="D18" s="1125"/>
      <c r="E18" s="1147">
        <v>1</v>
      </c>
      <c r="F18" s="1126" t="s">
        <v>1448</v>
      </c>
      <c r="G18" s="1127"/>
      <c r="H18" s="1098"/>
      <c r="I18" s="1098"/>
    </row>
    <row r="19" spans="1:9" s="1581" customFormat="1" ht="19.5" customHeight="1">
      <c r="A19" s="3471"/>
      <c r="B19" s="3471" t="s">
        <v>1449</v>
      </c>
      <c r="C19" s="1124" t="s">
        <v>1450</v>
      </c>
      <c r="D19" s="1125"/>
      <c r="E19" s="1147">
        <v>0.9</v>
      </c>
      <c r="F19" s="1126" t="s">
        <v>1451</v>
      </c>
      <c r="G19" s="1127"/>
      <c r="H19" s="1098"/>
      <c r="I19" s="1098"/>
    </row>
    <row r="20" spans="1:9" s="1581" customFormat="1" ht="19.5" customHeight="1">
      <c r="A20" s="3471"/>
      <c r="B20" s="3471"/>
      <c r="C20" s="1124" t="s">
        <v>1452</v>
      </c>
      <c r="D20" s="1125"/>
      <c r="E20" s="1147">
        <v>1.1000000000000001</v>
      </c>
      <c r="F20" s="1126" t="s">
        <v>1453</v>
      </c>
      <c r="G20" s="1127"/>
      <c r="H20" s="1098"/>
      <c r="I20" s="1098"/>
    </row>
    <row r="21" spans="1:9" s="1581" customFormat="1" ht="19.5" customHeight="1">
      <c r="A21" s="3471"/>
      <c r="B21" s="3471"/>
      <c r="C21" s="1124" t="s">
        <v>1454</v>
      </c>
      <c r="D21" s="1125"/>
      <c r="E21" s="1147">
        <v>0.8</v>
      </c>
      <c r="F21" s="1126" t="s">
        <v>1455</v>
      </c>
      <c r="G21" s="1127"/>
      <c r="H21" s="1098"/>
      <c r="I21" s="1098"/>
    </row>
    <row r="22" spans="1:9" s="1581" customFormat="1" ht="19.5" customHeight="1">
      <c r="A22" s="3471"/>
      <c r="B22" s="3471"/>
      <c r="C22" s="1124" t="s">
        <v>1456</v>
      </c>
      <c r="D22" s="1125"/>
      <c r="E22" s="1147">
        <v>0.5</v>
      </c>
      <c r="F22" s="1126"/>
      <c r="G22" s="1127"/>
      <c r="H22" s="1098"/>
      <c r="I22" s="1098"/>
    </row>
    <row r="23" spans="1:9" s="1581" customFormat="1" ht="19.5" customHeight="1">
      <c r="A23" s="3471" t="s">
        <v>1029</v>
      </c>
      <c r="B23" s="1147" t="s">
        <v>1446</v>
      </c>
      <c r="C23" s="1124" t="s">
        <v>1457</v>
      </c>
      <c r="D23" s="1125"/>
      <c r="E23" s="1147">
        <v>1</v>
      </c>
      <c r="F23" s="1126" t="s">
        <v>1458</v>
      </c>
      <c r="G23" s="1127"/>
      <c r="H23" s="1098"/>
      <c r="I23" s="1098"/>
    </row>
    <row r="24" spans="1:9" s="1581" customFormat="1" ht="19.5" customHeight="1">
      <c r="A24" s="3471"/>
      <c r="B24" s="3471" t="s">
        <v>1449</v>
      </c>
      <c r="C24" s="1124" t="s">
        <v>1459</v>
      </c>
      <c r="D24" s="1125"/>
      <c r="E24" s="1147">
        <v>0.5</v>
      </c>
      <c r="F24" s="1126"/>
      <c r="G24" s="1127"/>
      <c r="H24" s="1098"/>
      <c r="I24" s="1098"/>
    </row>
    <row r="25" spans="1:9" s="1581" customFormat="1" ht="19.5" customHeight="1">
      <c r="A25" s="3471"/>
      <c r="B25" s="3471"/>
      <c r="C25" s="1124" t="s">
        <v>1460</v>
      </c>
      <c r="D25" s="1125"/>
      <c r="E25" s="1147">
        <v>1.1000000000000001</v>
      </c>
      <c r="F25" s="1126"/>
      <c r="G25" s="1127"/>
      <c r="H25" s="1098"/>
      <c r="I25" s="1098"/>
    </row>
    <row r="26" spans="1:9" s="1581" customFormat="1" ht="19.5" customHeight="1">
      <c r="A26" s="3471"/>
      <c r="B26" s="3471"/>
      <c r="C26" s="1124" t="s">
        <v>1461</v>
      </c>
      <c r="D26" s="1125"/>
      <c r="E26" s="1147">
        <v>1.1000000000000001</v>
      </c>
      <c r="F26" s="1126"/>
      <c r="G26" s="1127"/>
      <c r="H26" s="1098"/>
      <c r="I26" s="1098"/>
    </row>
    <row r="27" spans="1:9" s="1581" customFormat="1" ht="19.5" customHeight="1">
      <c r="A27" s="3471"/>
      <c r="B27" s="3471"/>
      <c r="C27" s="1124" t="s">
        <v>1462</v>
      </c>
      <c r="D27" s="1125"/>
      <c r="E27" s="1147">
        <v>0.9</v>
      </c>
      <c r="F27" s="1126" t="s">
        <v>1463</v>
      </c>
      <c r="G27" s="1127"/>
      <c r="H27" s="1098"/>
      <c r="I27" s="1098"/>
    </row>
    <row r="28" spans="1:9" s="1581" customFormat="1" ht="19.5" customHeight="1">
      <c r="A28" s="3471"/>
      <c r="B28" s="3471"/>
      <c r="C28" s="1124" t="s">
        <v>1464</v>
      </c>
      <c r="D28" s="1125"/>
      <c r="E28" s="1147">
        <v>0.9</v>
      </c>
      <c r="F28" s="1126" t="s">
        <v>1465</v>
      </c>
      <c r="G28" s="1127"/>
      <c r="H28" s="1098"/>
      <c r="I28" s="1098"/>
    </row>
    <row r="29" spans="1:9" s="1581" customFormat="1" ht="19.5" customHeight="1">
      <c r="A29" s="3471"/>
      <c r="B29" s="3471"/>
      <c r="C29" s="1124" t="s">
        <v>1466</v>
      </c>
      <c r="D29" s="1125"/>
      <c r="E29" s="1147">
        <v>0.9</v>
      </c>
      <c r="F29" s="1126" t="s">
        <v>1467</v>
      </c>
      <c r="G29" s="1127"/>
      <c r="H29" s="1098"/>
      <c r="I29" s="1098"/>
    </row>
    <row r="30" spans="1:9" s="1581" customFormat="1" ht="19.5" customHeight="1">
      <c r="A30" s="3471"/>
      <c r="B30" s="3471"/>
      <c r="C30" s="1124" t="s">
        <v>1468</v>
      </c>
      <c r="D30" s="1125"/>
      <c r="E30" s="1147">
        <v>0.9</v>
      </c>
      <c r="F30" s="1126" t="s">
        <v>1469</v>
      </c>
      <c r="G30" s="1127"/>
      <c r="H30" s="1098"/>
      <c r="I30" s="1098"/>
    </row>
    <row r="31" spans="1:9" s="1581" customFormat="1" ht="19.5" customHeight="1">
      <c r="A31" s="3471"/>
      <c r="B31" s="3471"/>
      <c r="C31" s="1124" t="s">
        <v>1470</v>
      </c>
      <c r="D31" s="1125"/>
      <c r="E31" s="1147">
        <v>0.8</v>
      </c>
      <c r="F31" s="1126" t="s">
        <v>1471</v>
      </c>
      <c r="G31" s="1127"/>
      <c r="H31" s="1098"/>
      <c r="I31" s="1098"/>
    </row>
    <row r="32" spans="1:9" s="1581" customFormat="1" ht="19.5" customHeight="1">
      <c r="A32" s="3471"/>
      <c r="B32" s="3471"/>
      <c r="C32" s="1124" t="s">
        <v>1472</v>
      </c>
      <c r="D32" s="1125"/>
      <c r="E32" s="1147">
        <v>0.8</v>
      </c>
      <c r="F32" s="1126" t="s">
        <v>1473</v>
      </c>
      <c r="G32" s="1127"/>
      <c r="H32" s="1098"/>
      <c r="I32" s="1098"/>
    </row>
    <row r="33" spans="1:9" s="1581" customFormat="1" ht="19.5" customHeight="1">
      <c r="A33" s="3471" t="s">
        <v>1474</v>
      </c>
      <c r="B33" s="1147" t="s">
        <v>1446</v>
      </c>
      <c r="C33" s="1124" t="s">
        <v>1475</v>
      </c>
      <c r="D33" s="1125"/>
      <c r="E33" s="1147">
        <v>1</v>
      </c>
      <c r="F33" s="1126" t="s">
        <v>1476</v>
      </c>
      <c r="G33" s="1127"/>
      <c r="H33" s="1098"/>
      <c r="I33" s="1098"/>
    </row>
    <row r="34" spans="1:9" s="1581" customFormat="1" ht="19.5" customHeight="1">
      <c r="A34" s="3471"/>
      <c r="B34" s="1147" t="s">
        <v>1449</v>
      </c>
      <c r="C34" s="1124" t="s">
        <v>1477</v>
      </c>
      <c r="D34" s="1125"/>
      <c r="E34" s="1147">
        <v>1.5</v>
      </c>
      <c r="F34" s="1126" t="s">
        <v>1478</v>
      </c>
      <c r="G34" s="1127"/>
      <c r="H34" s="1098"/>
      <c r="I34" s="1098"/>
    </row>
    <row r="35" spans="1:9" s="1581" customFormat="1" ht="19.5" customHeight="1">
      <c r="A35" s="3471" t="s">
        <v>1432</v>
      </c>
      <c r="B35" s="1147" t="s">
        <v>1446</v>
      </c>
      <c r="C35" s="1124" t="s">
        <v>1479</v>
      </c>
      <c r="D35" s="1125"/>
      <c r="E35" s="1147">
        <v>1</v>
      </c>
      <c r="F35" s="1126" t="s">
        <v>1480</v>
      </c>
      <c r="G35" s="1127"/>
      <c r="H35" s="1098"/>
      <c r="I35" s="1098"/>
    </row>
    <row r="36" spans="1:9" s="1581" customFormat="1" ht="19.5" customHeight="1">
      <c r="A36" s="3471"/>
      <c r="B36" s="3471" t="s">
        <v>1449</v>
      </c>
      <c r="C36" s="1124" t="s">
        <v>1481</v>
      </c>
      <c r="D36" s="1125"/>
      <c r="E36" s="1147">
        <v>1</v>
      </c>
      <c r="F36" s="1126" t="s">
        <v>1482</v>
      </c>
      <c r="G36" s="1127"/>
      <c r="H36" s="1098"/>
      <c r="I36" s="1098"/>
    </row>
    <row r="37" spans="1:9" s="1581" customFormat="1" ht="19.5" customHeight="1">
      <c r="A37" s="3471"/>
      <c r="B37" s="3471"/>
      <c r="C37" s="1124" t="s">
        <v>1483</v>
      </c>
      <c r="D37" s="1125"/>
      <c r="E37" s="1147">
        <v>1.5</v>
      </c>
      <c r="F37" s="1126" t="s">
        <v>1484</v>
      </c>
      <c r="G37" s="1127"/>
      <c r="H37" s="1098"/>
      <c r="I37" s="1098"/>
    </row>
    <row r="38" spans="1:9" s="1581" customFormat="1" ht="19.5" customHeight="1">
      <c r="A38" s="3471"/>
      <c r="B38" s="3471"/>
      <c r="C38" s="1124" t="s">
        <v>1485</v>
      </c>
      <c r="D38" s="1125"/>
      <c r="E38" s="1147">
        <v>1</v>
      </c>
      <c r="F38" s="1126" t="s">
        <v>1486</v>
      </c>
      <c r="G38" s="1127"/>
      <c r="H38" s="1098"/>
      <c r="I38" s="1098"/>
    </row>
    <row r="39" spans="1:9" s="1581" customFormat="1" ht="19.5" customHeight="1">
      <c r="A39" s="3471"/>
      <c r="B39" s="3471"/>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71" t="s">
        <v>1501</v>
      </c>
      <c r="C61" s="1061" t="s">
        <v>1502</v>
      </c>
      <c r="D61" s="1061" t="s">
        <v>1503</v>
      </c>
      <c r="E61" s="1132">
        <v>0.5</v>
      </c>
      <c r="F61" s="1147">
        <v>80</v>
      </c>
      <c r="H61" s="1098">
        <f>SUMIF(C59:C119,基准地价!C8,E59:E119)</f>
        <v>0</v>
      </c>
    </row>
    <row r="62" spans="1:8" s="1098" customFormat="1" ht="24">
      <c r="A62" s="1147">
        <v>2</v>
      </c>
      <c r="B62" s="3471"/>
      <c r="C62" s="1061" t="s">
        <v>1504</v>
      </c>
      <c r="D62" s="1061" t="s">
        <v>1505</v>
      </c>
      <c r="E62" s="1132">
        <v>0.5</v>
      </c>
      <c r="F62" s="1147">
        <v>80</v>
      </c>
    </row>
    <row r="63" spans="1:8" s="1098" customFormat="1" ht="36">
      <c r="A63" s="1147">
        <v>3</v>
      </c>
      <c r="B63" s="3471"/>
      <c r="C63" s="1061" t="s">
        <v>1506</v>
      </c>
      <c r="D63" s="1061" t="s">
        <v>1507</v>
      </c>
      <c r="E63" s="1132">
        <v>0.5</v>
      </c>
      <c r="F63" s="1147">
        <v>80</v>
      </c>
    </row>
    <row r="64" spans="1:8" s="1098" customFormat="1" ht="36">
      <c r="A64" s="1147">
        <v>4</v>
      </c>
      <c r="B64" s="3471"/>
      <c r="C64" s="1061" t="s">
        <v>1508</v>
      </c>
      <c r="D64" s="1061" t="s">
        <v>1509</v>
      </c>
      <c r="E64" s="1132">
        <v>0.4</v>
      </c>
      <c r="F64" s="1147">
        <v>60</v>
      </c>
    </row>
    <row r="65" spans="1:6" s="1098" customFormat="1" ht="36">
      <c r="A65" s="1147">
        <v>5</v>
      </c>
      <c r="B65" s="3471"/>
      <c r="C65" s="1061" t="s">
        <v>1510</v>
      </c>
      <c r="D65" s="1061" t="s">
        <v>1511</v>
      </c>
      <c r="E65" s="1132">
        <v>0.2</v>
      </c>
      <c r="F65" s="1147">
        <v>30</v>
      </c>
    </row>
    <row r="66" spans="1:6" s="1098" customFormat="1" ht="36">
      <c r="A66" s="1147">
        <v>6</v>
      </c>
      <c r="B66" s="3471"/>
      <c r="C66" s="1061" t="s">
        <v>1512</v>
      </c>
      <c r="D66" s="1061" t="s">
        <v>1513</v>
      </c>
      <c r="E66" s="1132">
        <v>0.3</v>
      </c>
      <c r="F66" s="1147">
        <v>50</v>
      </c>
    </row>
    <row r="67" spans="1:6" s="1098" customFormat="1" ht="36">
      <c r="A67" s="1147">
        <v>7</v>
      </c>
      <c r="B67" s="3471"/>
      <c r="C67" s="1061" t="s">
        <v>1514</v>
      </c>
      <c r="D67" s="1061" t="s">
        <v>1515</v>
      </c>
      <c r="E67" s="1132">
        <v>0.2</v>
      </c>
      <c r="F67" s="1147">
        <v>30</v>
      </c>
    </row>
    <row r="68" spans="1:6" s="1098" customFormat="1" ht="36">
      <c r="A68" s="1147">
        <v>8</v>
      </c>
      <c r="B68" s="3471"/>
      <c r="C68" s="1061" t="s">
        <v>1516</v>
      </c>
      <c r="D68" s="1061" t="s">
        <v>1517</v>
      </c>
      <c r="E68" s="1132">
        <v>0.2</v>
      </c>
      <c r="F68" s="1147">
        <v>30</v>
      </c>
    </row>
    <row r="69" spans="1:6" s="1098" customFormat="1" ht="36">
      <c r="A69" s="1147">
        <v>9</v>
      </c>
      <c r="B69" s="3471"/>
      <c r="C69" s="1061" t="s">
        <v>1518</v>
      </c>
      <c r="D69" s="1061" t="s">
        <v>1519</v>
      </c>
      <c r="E69" s="1132">
        <v>0.2</v>
      </c>
      <c r="F69" s="1147">
        <v>30</v>
      </c>
    </row>
    <row r="70" spans="1:6" s="1098" customFormat="1" ht="48">
      <c r="A70" s="1147">
        <v>10</v>
      </c>
      <c r="B70" s="3471"/>
      <c r="C70" s="1061" t="s">
        <v>1520</v>
      </c>
      <c r="D70" s="1061" t="s">
        <v>1521</v>
      </c>
      <c r="E70" s="1132">
        <v>0.2</v>
      </c>
      <c r="F70" s="1147">
        <v>30</v>
      </c>
    </row>
    <row r="71" spans="1:6" s="1098" customFormat="1" ht="48">
      <c r="A71" s="1147">
        <v>11</v>
      </c>
      <c r="B71" s="3471"/>
      <c r="C71" s="1061" t="s">
        <v>1522</v>
      </c>
      <c r="D71" s="1061" t="s">
        <v>1523</v>
      </c>
      <c r="E71" s="1132">
        <v>0.2</v>
      </c>
      <c r="F71" s="1147">
        <v>30</v>
      </c>
    </row>
    <row r="72" spans="1:6" s="1098" customFormat="1" ht="36">
      <c r="A72" s="1147">
        <v>12</v>
      </c>
      <c r="B72" s="3471"/>
      <c r="C72" s="1061" t="s">
        <v>1524</v>
      </c>
      <c r="D72" s="1061" t="s">
        <v>1525</v>
      </c>
      <c r="E72" s="1132">
        <v>0.5</v>
      </c>
      <c r="F72" s="1147">
        <v>80</v>
      </c>
    </row>
    <row r="73" spans="1:6" s="1098" customFormat="1" ht="24">
      <c r="A73" s="1147">
        <v>13</v>
      </c>
      <c r="B73" s="3471"/>
      <c r="C73" s="1061" t="s">
        <v>1526</v>
      </c>
      <c r="D73" s="1061" t="s">
        <v>1527</v>
      </c>
      <c r="E73" s="1132">
        <v>0.4</v>
      </c>
      <c r="F73" s="1147">
        <v>60</v>
      </c>
    </row>
    <row r="74" spans="1:6" s="1098" customFormat="1" ht="24">
      <c r="A74" s="1147">
        <v>14</v>
      </c>
      <c r="B74" s="3471"/>
      <c r="C74" s="1061" t="s">
        <v>1528</v>
      </c>
      <c r="D74" s="1061" t="s">
        <v>1529</v>
      </c>
      <c r="E74" s="1132">
        <v>0.2</v>
      </c>
      <c r="F74" s="1147">
        <v>30</v>
      </c>
    </row>
    <row r="75" spans="1:6" s="1098" customFormat="1" ht="24">
      <c r="A75" s="1147">
        <v>15</v>
      </c>
      <c r="B75" s="3471"/>
      <c r="C75" s="1061" t="s">
        <v>1530</v>
      </c>
      <c r="D75" s="1061" t="s">
        <v>1531</v>
      </c>
      <c r="E75" s="1132">
        <v>0.2</v>
      </c>
      <c r="F75" s="1147">
        <v>30</v>
      </c>
    </row>
    <row r="76" spans="1:6" s="1098" customFormat="1" ht="24">
      <c r="A76" s="1147">
        <v>16</v>
      </c>
      <c r="B76" s="3471" t="s">
        <v>1532</v>
      </c>
      <c r="C76" s="1061" t="s">
        <v>1533</v>
      </c>
      <c r="D76" s="1061" t="s">
        <v>1534</v>
      </c>
      <c r="E76" s="1132">
        <v>0.5</v>
      </c>
      <c r="F76" s="1147">
        <v>80</v>
      </c>
    </row>
    <row r="77" spans="1:6" s="1098" customFormat="1" ht="24">
      <c r="A77" s="1147">
        <v>17</v>
      </c>
      <c r="B77" s="3471"/>
      <c r="C77" s="1061" t="s">
        <v>1535</v>
      </c>
      <c r="D77" s="1061" t="s">
        <v>1536</v>
      </c>
      <c r="E77" s="1132">
        <v>0.5</v>
      </c>
      <c r="F77" s="1147">
        <v>80</v>
      </c>
    </row>
    <row r="78" spans="1:6" s="1098" customFormat="1" ht="24">
      <c r="A78" s="1147">
        <v>18</v>
      </c>
      <c r="B78" s="3471"/>
      <c r="C78" s="1061" t="s">
        <v>1537</v>
      </c>
      <c r="D78" s="1061" t="s">
        <v>1538</v>
      </c>
      <c r="E78" s="1132">
        <v>0.2</v>
      </c>
      <c r="F78" s="1147">
        <v>30</v>
      </c>
    </row>
    <row r="79" spans="1:6" s="1098" customFormat="1" ht="24">
      <c r="A79" s="1147">
        <v>19</v>
      </c>
      <c r="B79" s="3471"/>
      <c r="C79" s="1061" t="s">
        <v>1539</v>
      </c>
      <c r="D79" s="1061" t="s">
        <v>1540</v>
      </c>
      <c r="E79" s="1132">
        <v>0.5</v>
      </c>
      <c r="F79" s="1147">
        <v>80</v>
      </c>
    </row>
    <row r="80" spans="1:6" s="1098" customFormat="1" ht="36">
      <c r="A80" s="1147">
        <v>20</v>
      </c>
      <c r="B80" s="3471"/>
      <c r="C80" s="1061" t="s">
        <v>1541</v>
      </c>
      <c r="D80" s="1061" t="s">
        <v>1542</v>
      </c>
      <c r="E80" s="1132">
        <v>0.2</v>
      </c>
      <c r="F80" s="1147">
        <v>30</v>
      </c>
    </row>
    <row r="81" spans="1:6" s="1098" customFormat="1" ht="36">
      <c r="A81" s="1147">
        <v>21</v>
      </c>
      <c r="B81" s="3471"/>
      <c r="C81" s="1061" t="s">
        <v>1543</v>
      </c>
      <c r="D81" s="1061" t="s">
        <v>1544</v>
      </c>
      <c r="E81" s="1132">
        <v>0.2</v>
      </c>
      <c r="F81" s="1147">
        <v>30</v>
      </c>
    </row>
    <row r="82" spans="1:6" s="1098" customFormat="1" ht="48">
      <c r="A82" s="1147">
        <v>22</v>
      </c>
      <c r="B82" s="3471"/>
      <c r="C82" s="1061" t="s">
        <v>1545</v>
      </c>
      <c r="D82" s="1061" t="s">
        <v>1546</v>
      </c>
      <c r="E82" s="1132">
        <v>0.2</v>
      </c>
      <c r="F82" s="1147">
        <v>30</v>
      </c>
    </row>
    <row r="83" spans="1:6" s="1098" customFormat="1" ht="48">
      <c r="A83" s="1147">
        <v>23</v>
      </c>
      <c r="B83" s="3471"/>
      <c r="C83" s="1061" t="s">
        <v>1547</v>
      </c>
      <c r="D83" s="1061" t="s">
        <v>1548</v>
      </c>
      <c r="E83" s="1132">
        <v>0.2</v>
      </c>
      <c r="F83" s="1147">
        <v>30</v>
      </c>
    </row>
    <row r="84" spans="1:6" s="1098" customFormat="1" ht="36">
      <c r="A84" s="1147">
        <v>24</v>
      </c>
      <c r="B84" s="3471"/>
      <c r="C84" s="1061" t="s">
        <v>1549</v>
      </c>
      <c r="D84" s="1061" t="s">
        <v>1550</v>
      </c>
      <c r="E84" s="1132">
        <v>0.2</v>
      </c>
      <c r="F84" s="1147">
        <v>30</v>
      </c>
    </row>
    <row r="85" spans="1:6" s="1098" customFormat="1" ht="36">
      <c r="A85" s="1147">
        <v>25</v>
      </c>
      <c r="B85" s="3471"/>
      <c r="C85" s="1061" t="s">
        <v>1551</v>
      </c>
      <c r="D85" s="1061" t="s">
        <v>1552</v>
      </c>
      <c r="E85" s="1132">
        <v>0.5</v>
      </c>
      <c r="F85" s="1147">
        <v>80</v>
      </c>
    </row>
    <row r="86" spans="1:6" s="1098" customFormat="1" ht="36">
      <c r="A86" s="1147">
        <v>26</v>
      </c>
      <c r="B86" s="3471"/>
      <c r="C86" s="1061" t="s">
        <v>1553</v>
      </c>
      <c r="D86" s="1061" t="s">
        <v>1554</v>
      </c>
      <c r="E86" s="1132">
        <v>0.2</v>
      </c>
      <c r="F86" s="1147">
        <v>30</v>
      </c>
    </row>
    <row r="87" spans="1:6" s="1098" customFormat="1" ht="36">
      <c r="A87" s="1147">
        <v>27</v>
      </c>
      <c r="B87" s="3471"/>
      <c r="C87" s="1061" t="s">
        <v>1555</v>
      </c>
      <c r="D87" s="1061" t="s">
        <v>1556</v>
      </c>
      <c r="E87" s="1132">
        <v>0.2</v>
      </c>
      <c r="F87" s="1147">
        <v>30</v>
      </c>
    </row>
    <row r="88" spans="1:6" s="1098" customFormat="1" ht="36">
      <c r="A88" s="1147">
        <v>28</v>
      </c>
      <c r="B88" s="3471"/>
      <c r="C88" s="1061" t="s">
        <v>1557</v>
      </c>
      <c r="D88" s="1061" t="s">
        <v>1558</v>
      </c>
      <c r="E88" s="1132">
        <v>0.2</v>
      </c>
      <c r="F88" s="1147">
        <v>30</v>
      </c>
    </row>
    <row r="89" spans="1:6" s="1098" customFormat="1" ht="24">
      <c r="A89" s="1147">
        <v>29</v>
      </c>
      <c r="B89" s="3471"/>
      <c r="C89" s="1061" t="s">
        <v>1559</v>
      </c>
      <c r="D89" s="1061" t="s">
        <v>1560</v>
      </c>
      <c r="E89" s="1132">
        <v>0.2</v>
      </c>
      <c r="F89" s="1147">
        <v>30</v>
      </c>
    </row>
    <row r="90" spans="1:6" s="1098" customFormat="1" ht="24">
      <c r="A90" s="1147">
        <v>30</v>
      </c>
      <c r="B90" s="3471"/>
      <c r="C90" s="1061" t="s">
        <v>1561</v>
      </c>
      <c r="D90" s="1061" t="s">
        <v>1562</v>
      </c>
      <c r="E90" s="1132">
        <v>0.2</v>
      </c>
      <c r="F90" s="1147">
        <v>30</v>
      </c>
    </row>
    <row r="91" spans="1:6" s="1098" customFormat="1" ht="36">
      <c r="A91" s="1147">
        <v>31</v>
      </c>
      <c r="B91" s="3471"/>
      <c r="C91" s="1061" t="s">
        <v>1563</v>
      </c>
      <c r="D91" s="1061" t="s">
        <v>1564</v>
      </c>
      <c r="E91" s="1132">
        <v>0.2</v>
      </c>
      <c r="F91" s="1147">
        <v>30</v>
      </c>
    </row>
    <row r="92" spans="1:6" s="1098" customFormat="1" ht="24">
      <c r="A92" s="1147">
        <v>32</v>
      </c>
      <c r="B92" s="3471" t="s">
        <v>1565</v>
      </c>
      <c r="C92" s="1147" t="s">
        <v>1566</v>
      </c>
      <c r="D92" s="1061" t="s">
        <v>1567</v>
      </c>
      <c r="E92" s="1132">
        <v>0.2</v>
      </c>
      <c r="F92" s="1147">
        <v>30</v>
      </c>
    </row>
    <row r="93" spans="1:6" s="1098" customFormat="1" ht="36">
      <c r="A93" s="1147">
        <v>33</v>
      </c>
      <c r="B93" s="3471"/>
      <c r="C93" s="1147" t="s">
        <v>1568</v>
      </c>
      <c r="D93" s="1061" t="s">
        <v>1569</v>
      </c>
      <c r="E93" s="1132">
        <v>0.2</v>
      </c>
      <c r="F93" s="1147">
        <v>30</v>
      </c>
    </row>
    <row r="94" spans="1:6" s="1098" customFormat="1" ht="48">
      <c r="A94" s="1147">
        <v>34</v>
      </c>
      <c r="B94" s="3471"/>
      <c r="C94" s="1147" t="s">
        <v>1570</v>
      </c>
      <c r="D94" s="1061" t="s">
        <v>1571</v>
      </c>
      <c r="E94" s="1132">
        <v>0.2</v>
      </c>
      <c r="F94" s="1147">
        <v>30</v>
      </c>
    </row>
    <row r="95" spans="1:6" s="1098" customFormat="1" ht="36">
      <c r="A95" s="1147">
        <v>35</v>
      </c>
      <c r="B95" s="3471"/>
      <c r="C95" s="1147" t="s">
        <v>1572</v>
      </c>
      <c r="D95" s="1061" t="s">
        <v>1573</v>
      </c>
      <c r="E95" s="1132">
        <v>0.2</v>
      </c>
      <c r="F95" s="1147">
        <v>30</v>
      </c>
    </row>
    <row r="96" spans="1:6" s="1098" customFormat="1" ht="48">
      <c r="A96" s="1147">
        <v>36</v>
      </c>
      <c r="B96" s="3471"/>
      <c r="C96" s="1061" t="s">
        <v>1574</v>
      </c>
      <c r="D96" s="1061" t="s">
        <v>1575</v>
      </c>
      <c r="E96" s="1132">
        <v>0.2</v>
      </c>
      <c r="F96" s="1147">
        <v>30</v>
      </c>
    </row>
    <row r="97" spans="1:6" s="1098" customFormat="1" ht="36">
      <c r="A97" s="1147">
        <v>37</v>
      </c>
      <c r="B97" s="3471"/>
      <c r="C97" s="1147" t="s">
        <v>1576</v>
      </c>
      <c r="D97" s="1061" t="s">
        <v>1577</v>
      </c>
      <c r="E97" s="1132">
        <v>0.2</v>
      </c>
      <c r="F97" s="1147">
        <v>30</v>
      </c>
    </row>
    <row r="98" spans="1:6" s="1098" customFormat="1" ht="36">
      <c r="A98" s="1147">
        <v>38</v>
      </c>
      <c r="B98" s="3471"/>
      <c r="C98" s="1147" t="s">
        <v>1578</v>
      </c>
      <c r="D98" s="1061" t="s">
        <v>1579</v>
      </c>
      <c r="E98" s="1132">
        <v>0.2</v>
      </c>
      <c r="F98" s="1147">
        <v>30</v>
      </c>
    </row>
    <row r="99" spans="1:6" s="1098" customFormat="1" ht="36">
      <c r="A99" s="1147">
        <v>39</v>
      </c>
      <c r="B99" s="3471" t="s">
        <v>1580</v>
      </c>
      <c r="C99" s="1147" t="s">
        <v>1581</v>
      </c>
      <c r="D99" s="1061" t="s">
        <v>1582</v>
      </c>
      <c r="E99" s="1132">
        <v>0.3</v>
      </c>
      <c r="F99" s="1147">
        <v>50</v>
      </c>
    </row>
    <row r="100" spans="1:6" s="1098" customFormat="1" ht="24">
      <c r="A100" s="1147">
        <v>40</v>
      </c>
      <c r="B100" s="3471"/>
      <c r="C100" s="1147" t="s">
        <v>1583</v>
      </c>
      <c r="D100" s="1061" t="s">
        <v>1584</v>
      </c>
      <c r="E100" s="1132">
        <v>0.2</v>
      </c>
      <c r="F100" s="1147">
        <v>30</v>
      </c>
    </row>
    <row r="101" spans="1:6" s="1098" customFormat="1" ht="36">
      <c r="A101" s="1147">
        <v>41</v>
      </c>
      <c r="B101" s="347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71" t="s">
        <v>1595</v>
      </c>
      <c r="C105" s="1147" t="s">
        <v>1596</v>
      </c>
      <c r="D105" s="1061" t="s">
        <v>1597</v>
      </c>
      <c r="E105" s="1132">
        <v>0.2</v>
      </c>
      <c r="F105" s="1147">
        <v>30</v>
      </c>
    </row>
    <row r="106" spans="1:6" s="1098" customFormat="1" ht="36">
      <c r="A106" s="1147">
        <v>46</v>
      </c>
      <c r="B106" s="3471"/>
      <c r="C106" s="1147" t="s">
        <v>1598</v>
      </c>
      <c r="D106" s="1061" t="s">
        <v>1599</v>
      </c>
      <c r="E106" s="1132">
        <v>0.2</v>
      </c>
      <c r="F106" s="1147">
        <v>30</v>
      </c>
    </row>
    <row r="107" spans="1:6" s="1098" customFormat="1" ht="36">
      <c r="A107" s="1147">
        <v>47</v>
      </c>
      <c r="B107" s="3471" t="s">
        <v>1600</v>
      </c>
      <c r="C107" s="1147" t="s">
        <v>1601</v>
      </c>
      <c r="D107" s="1061" t="s">
        <v>1602</v>
      </c>
      <c r="E107" s="1132">
        <v>0.3</v>
      </c>
      <c r="F107" s="1147">
        <v>50</v>
      </c>
    </row>
    <row r="108" spans="1:6" s="1098" customFormat="1" ht="36">
      <c r="A108" s="1147">
        <v>48</v>
      </c>
      <c r="B108" s="347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71" t="s">
        <v>1611</v>
      </c>
      <c r="C111" s="1147" t="s">
        <v>1612</v>
      </c>
      <c r="D111" s="1061" t="s">
        <v>1613</v>
      </c>
      <c r="E111" s="1132">
        <v>0.2</v>
      </c>
      <c r="F111" s="1147">
        <v>30</v>
      </c>
    </row>
    <row r="112" spans="1:6" s="1098" customFormat="1" ht="24">
      <c r="A112" s="1147">
        <v>52</v>
      </c>
      <c r="B112" s="3471"/>
      <c r="C112" s="1147" t="s">
        <v>1614</v>
      </c>
      <c r="D112" s="1061" t="s">
        <v>1615</v>
      </c>
      <c r="E112" s="1132">
        <v>0.2</v>
      </c>
      <c r="F112" s="1147">
        <v>30</v>
      </c>
    </row>
    <row r="113" spans="1:14" s="1098" customFormat="1" ht="24">
      <c r="A113" s="1147">
        <v>53</v>
      </c>
      <c r="B113" s="347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71" t="s">
        <v>1624</v>
      </c>
      <c r="C116" s="1147" t="s">
        <v>1625</v>
      </c>
      <c r="D116" s="1061" t="s">
        <v>1626</v>
      </c>
      <c r="E116" s="1132">
        <v>0.2</v>
      </c>
      <c r="F116" s="1147">
        <v>30</v>
      </c>
    </row>
    <row r="117" spans="1:14" ht="36">
      <c r="A117" s="1147">
        <v>57</v>
      </c>
      <c r="B117" s="347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70" t="s">
        <v>1633</v>
      </c>
      <c r="B121" s="3470"/>
      <c r="C121" s="3470"/>
      <c r="D121" s="3470"/>
      <c r="E121" s="3470"/>
      <c r="F121" s="3470"/>
      <c r="G121" s="3470"/>
      <c r="H121" s="3470"/>
      <c r="I121" s="3470"/>
      <c r="J121" s="347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5" t="s">
        <v>1039</v>
      </c>
      <c r="B1" s="3475"/>
      <c r="C1" s="3475"/>
      <c r="D1" s="3475"/>
      <c r="E1" s="3475"/>
      <c r="F1" s="347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76" t="s">
        <v>1052</v>
      </c>
      <c r="B2" s="3476"/>
      <c r="C2" s="3476"/>
      <c r="D2" s="3476"/>
      <c r="E2" s="3476"/>
      <c r="F2" s="347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7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7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9" t="s">
        <v>2076</v>
      </c>
      <c r="B1" s="3479"/>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7" t="s">
        <v>2572</v>
      </c>
      <c r="C1" s="3487"/>
      <c r="D1" s="3487"/>
      <c r="E1" s="3487"/>
      <c r="F1" s="3487"/>
      <c r="G1" s="3486" t="s">
        <v>2573</v>
      </c>
      <c r="H1" s="3486"/>
      <c r="I1" s="3486"/>
      <c r="J1" s="3486"/>
      <c r="K1" s="3486"/>
      <c r="L1" s="3486"/>
      <c r="N1" s="3486" t="s">
        <v>2574</v>
      </c>
      <c r="O1" s="3486"/>
      <c r="P1" s="3486"/>
      <c r="Q1" s="3486"/>
      <c r="R1" s="2615"/>
      <c r="S1" s="3486" t="s">
        <v>2575</v>
      </c>
      <c r="T1" s="3486"/>
      <c r="U1" s="3486"/>
      <c r="V1" s="3486"/>
      <c r="X1" s="3485" t="s">
        <v>2635</v>
      </c>
      <c r="Y1" s="3486"/>
      <c r="Z1" s="3486"/>
      <c r="AA1" s="3486"/>
      <c r="AB1" s="3486"/>
      <c r="AD1" s="3485" t="s">
        <v>2639</v>
      </c>
      <c r="AE1" s="3486"/>
      <c r="AF1" s="3486"/>
      <c r="AG1" s="3486"/>
      <c r="AH1" s="3486"/>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81">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81"/>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81"/>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82"/>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80">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81"/>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81"/>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82"/>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80">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81"/>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81"/>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84"/>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83">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81"/>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81"/>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84"/>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83">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81"/>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81"/>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84"/>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88">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89"/>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89"/>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90"/>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83">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81"/>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81"/>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84"/>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83">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81">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81">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84">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83">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81">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81">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84">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83">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81">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81">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84">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83">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81">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81">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84">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83">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81">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81">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84">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83">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81">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81">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84">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83">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81">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81">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84">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83">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81">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81">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84">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83">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81">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81">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84">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83">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81">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81">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84">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本次估价对象为出让国有建设用地使用权，《国有土地使用证》[]证载土地终止日期为住宅2088年3月12日、商业2058年3月12日车库2068年3月12日。截至估价期日，出让国有建设用地使用权剩余土地使用年限为。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92" t="s">
        <v>2460</v>
      </c>
      <c r="C8" s="1807" t="e">
        <f ca="1">ROUND(F8*F10*F9*(1-F11)/10000,0)</f>
        <v>#N/A</v>
      </c>
      <c r="D8" s="1804" t="s">
        <v>2531</v>
      </c>
      <c r="E8" s="61" t="s">
        <v>637</v>
      </c>
      <c r="F8" s="783" t="e">
        <f ca="1">INDIRECT("'数据-取费表'!u"&amp;$G$1)</f>
        <v>#N/A</v>
      </c>
      <c r="G8" s="1575"/>
      <c r="H8" s="2465" t="s">
        <v>1823</v>
      </c>
      <c r="I8" s="3492" t="s">
        <v>2460</v>
      </c>
      <c r="J8" s="781" t="e">
        <f ca="1">ROUND(M8*M10*M9*(1-M11)/10000,0)</f>
        <v>#N/A</v>
      </c>
      <c r="K8" s="339" t="s">
        <v>2531</v>
      </c>
      <c r="L8" s="782" t="s">
        <v>1737</v>
      </c>
      <c r="M8" s="783" t="e">
        <f ca="1">INDIRECT("'数据-取费表'!z"&amp;$G$1)</f>
        <v>#N/A</v>
      </c>
    </row>
    <row r="9" spans="1:25" ht="18" customHeight="1">
      <c r="A9" s="2461"/>
      <c r="B9" s="3493"/>
      <c r="C9" s="1808"/>
      <c r="D9" s="1805"/>
      <c r="E9" s="61" t="s">
        <v>638</v>
      </c>
      <c r="F9" s="783" t="e">
        <f ca="1">IF(INDIRECT("'数据-取费表'!ah"&amp;$G$1)="",INDIRECT("'数据-取费表'!k"&amp;$G$1),INDIRECT("'数据-取费表'!ah"&amp;$G$1))</f>
        <v>#N/A</v>
      </c>
      <c r="G9" s="1575"/>
      <c r="H9" s="2450"/>
      <c r="I9" s="3493"/>
      <c r="J9" s="786"/>
      <c r="K9" s="787"/>
      <c r="L9" s="782" t="s">
        <v>1738</v>
      </c>
      <c r="M9" s="783" t="e">
        <f ca="1">F9</f>
        <v>#N/A</v>
      </c>
    </row>
    <row r="10" spans="1:25" ht="18" customHeight="1">
      <c r="A10" s="2454"/>
      <c r="B10" s="3494"/>
      <c r="C10" s="1808"/>
      <c r="D10" s="1805"/>
      <c r="E10" s="61" t="s">
        <v>639</v>
      </c>
      <c r="F10" s="783" t="e">
        <f ca="1">INDIRECT("'数据-取费表'!ai"&amp;$G$1)</f>
        <v>#N/A</v>
      </c>
      <c r="G10" s="1575"/>
      <c r="H10" s="2450"/>
      <c r="I10" s="3494"/>
      <c r="J10" s="786"/>
      <c r="K10" s="787"/>
      <c r="L10" s="782" t="s">
        <v>1739</v>
      </c>
      <c r="M10" s="783" t="e">
        <f ca="1">INDIRECT("'数据-取费表'!ai"&amp;$G$1)</f>
        <v>#N/A</v>
      </c>
    </row>
    <row r="11" spans="1:25" ht="18" customHeight="1">
      <c r="A11" s="784"/>
      <c r="B11" s="3495"/>
      <c r="C11" s="1808"/>
      <c r="D11" s="1805"/>
      <c r="E11" s="61" t="s">
        <v>640</v>
      </c>
      <c r="F11" s="792" t="e">
        <f ca="1">INDIRECT("'数据-取费表'!w"&amp;$G$1)</f>
        <v>#N/A</v>
      </c>
      <c r="G11" s="1575"/>
      <c r="H11" s="2466"/>
      <c r="I11" s="3494"/>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3146</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150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0.02</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0.02</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3147</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91"/>
      <c r="J36" s="2061"/>
      <c r="K36" s="2062"/>
      <c r="L36" s="2061"/>
      <c r="M36" s="2061"/>
    </row>
    <row r="37" spans="1:18" ht="18" customHeight="1">
      <c r="A37" s="813"/>
      <c r="B37" s="791"/>
      <c r="C37" s="69"/>
      <c r="D37" s="814"/>
      <c r="E37" s="782" t="s">
        <v>674</v>
      </c>
      <c r="F37" s="783" t="e">
        <f ca="1">INDIRECT("'数据-取费表'!r"&amp;$G$1)</f>
        <v>#N/A</v>
      </c>
      <c r="G37" s="2044"/>
      <c r="H37" s="2047"/>
      <c r="I37" s="3491"/>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96"/>
      <c r="L54" s="3497"/>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2" t="s">
        <v>2460</v>
      </c>
      <c r="C6" s="781" t="e">
        <f ca="1">ROUND(F6*F8*F7*(1-F9)/10000,0)</f>
        <v>#N/A</v>
      </c>
      <c r="D6" s="2458" t="s">
        <v>2459</v>
      </c>
      <c r="E6" s="782" t="s">
        <v>1737</v>
      </c>
      <c r="F6" s="783" t="e">
        <f ca="1">INDIRECT("'数据-取费表'!u"&amp;$G$1)</f>
        <v>#N/A</v>
      </c>
      <c r="G6" s="1575"/>
      <c r="H6" s="2465" t="s">
        <v>2465</v>
      </c>
      <c r="I6" s="3492" t="s">
        <v>2460</v>
      </c>
      <c r="J6" s="781" t="e">
        <f ca="1">ROUND(M6*M8*M7*(1-M9)/10000,0)</f>
        <v>#N/A</v>
      </c>
      <c r="K6" s="339" t="s">
        <v>1736</v>
      </c>
      <c r="L6" s="782" t="s">
        <v>1737</v>
      </c>
      <c r="M6" s="783" t="e">
        <f ca="1">INDIRECT("'数据-取费表'!z"&amp;$G$1)</f>
        <v>#N/A</v>
      </c>
    </row>
    <row r="7" spans="1:33" ht="18" customHeight="1">
      <c r="A7" s="2461"/>
      <c r="B7" s="3493"/>
      <c r="C7" s="786"/>
      <c r="D7" s="787"/>
      <c r="E7" s="782" t="s">
        <v>1738</v>
      </c>
      <c r="F7" s="783" t="e">
        <f ca="1">IF(INDIRECT("'数据-取费表'!ah"&amp;$G$1)="",INDIRECT("'数据-取费表'!k"&amp;$G$1),INDIRECT("'数据-取费表'!ah"&amp;$G$1))</f>
        <v>#N/A</v>
      </c>
      <c r="G7" s="1575"/>
      <c r="H7" s="2450"/>
      <c r="I7" s="3493"/>
      <c r="J7" s="786"/>
      <c r="K7" s="787"/>
      <c r="L7" s="782" t="s">
        <v>1738</v>
      </c>
      <c r="M7" s="783" t="e">
        <f ca="1">F7</f>
        <v>#N/A</v>
      </c>
    </row>
    <row r="8" spans="1:33" ht="18" customHeight="1">
      <c r="A8" s="2454"/>
      <c r="B8" s="3494"/>
      <c r="C8" s="786"/>
      <c r="D8" s="787"/>
      <c r="E8" s="782" t="s">
        <v>1739</v>
      </c>
      <c r="F8" s="783" t="e">
        <f ca="1">INDIRECT("'数据-取费表'!ai"&amp;$G$1)</f>
        <v>#N/A</v>
      </c>
      <c r="G8" s="1575"/>
      <c r="H8" s="2450"/>
      <c r="I8" s="3494"/>
      <c r="J8" s="786"/>
      <c r="K8" s="787"/>
      <c r="L8" s="782" t="s">
        <v>1739</v>
      </c>
      <c r="M8" s="783" t="e">
        <f ca="1">INDIRECT("'数据-取费表'!ai"&amp;$G$1)</f>
        <v>#N/A</v>
      </c>
    </row>
    <row r="9" spans="1:33" ht="18" customHeight="1">
      <c r="A9" s="784"/>
      <c r="B9" s="3495"/>
      <c r="C9" s="786"/>
      <c r="D9" s="787"/>
      <c r="E9" s="782" t="s">
        <v>1740</v>
      </c>
      <c r="F9" s="792" t="e">
        <f ca="1">INDIRECT("'数据-取费表'!w"&amp;$G$1)</f>
        <v>#N/A</v>
      </c>
      <c r="G9" s="1575"/>
      <c r="H9" s="2466"/>
      <c r="I9" s="3494"/>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3146</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150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0.02</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3147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98" t="s">
        <v>2963</v>
      </c>
      <c r="L53" s="3499"/>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2468</v>
      </c>
      <c r="B1" s="3501"/>
      <c r="C1" s="3502"/>
      <c r="D1" s="3503">
        <f>SUM(I10,I15,I20,I21,I23)</f>
        <v>0</v>
      </c>
      <c r="E1" s="3503"/>
      <c r="F1" s="3503"/>
      <c r="G1" s="3503"/>
      <c r="H1" s="3503"/>
      <c r="I1" s="3504"/>
    </row>
    <row r="2" spans="1:9">
      <c r="A2" s="3505" t="s">
        <v>2469</v>
      </c>
      <c r="B2" s="3506" t="s">
        <v>2470</v>
      </c>
      <c r="C2" s="3506"/>
      <c r="D2" s="2468" t="s">
        <v>2471</v>
      </c>
      <c r="E2" s="2468" t="s">
        <v>2472</v>
      </c>
      <c r="F2" s="2468" t="s">
        <v>2473</v>
      </c>
      <c r="G2" s="2468" t="s">
        <v>2474</v>
      </c>
      <c r="H2" s="2468" t="s">
        <v>2475</v>
      </c>
      <c r="I2" s="2469" t="s">
        <v>2476</v>
      </c>
    </row>
    <row r="3" spans="1:9">
      <c r="A3" s="3505"/>
      <c r="B3" s="3506" t="s">
        <v>2477</v>
      </c>
      <c r="C3" s="3506"/>
      <c r="D3" s="2470"/>
      <c r="E3" s="2468"/>
      <c r="F3" s="2471"/>
      <c r="G3" s="2471"/>
      <c r="H3" s="2472"/>
      <c r="I3" s="2473">
        <f>ROUND(D3*E3*F3*G3*H3/10000,0)</f>
        <v>0</v>
      </c>
    </row>
    <row r="4" spans="1:9">
      <c r="A4" s="3505"/>
      <c r="B4" s="3506" t="s">
        <v>2478</v>
      </c>
      <c r="C4" s="3506"/>
      <c r="D4" s="2470"/>
      <c r="E4" s="2468"/>
      <c r="F4" s="2471"/>
      <c r="G4" s="2471"/>
      <c r="H4" s="2472"/>
      <c r="I4" s="2473">
        <f t="shared" ref="I4:I9" si="0">ROUND(D4*E4*F4*G4*H4/10000,0)</f>
        <v>0</v>
      </c>
    </row>
    <row r="5" spans="1:9">
      <c r="A5" s="3505"/>
      <c r="B5" s="3506" t="s">
        <v>2479</v>
      </c>
      <c r="C5" s="3506"/>
      <c r="D5" s="2470"/>
      <c r="E5" s="2468"/>
      <c r="F5" s="2471"/>
      <c r="G5" s="2471"/>
      <c r="H5" s="2472"/>
      <c r="I5" s="2473">
        <f t="shared" si="0"/>
        <v>0</v>
      </c>
    </row>
    <row r="6" spans="1:9">
      <c r="A6" s="3505"/>
      <c r="B6" s="3506" t="s">
        <v>2480</v>
      </c>
      <c r="C6" s="3506"/>
      <c r="D6" s="2470"/>
      <c r="E6" s="2468"/>
      <c r="F6" s="2471"/>
      <c r="G6" s="2471"/>
      <c r="H6" s="2472"/>
      <c r="I6" s="2473">
        <f t="shared" si="0"/>
        <v>0</v>
      </c>
    </row>
    <row r="7" spans="1:9">
      <c r="A7" s="3505"/>
      <c r="B7" s="3506" t="s">
        <v>2481</v>
      </c>
      <c r="C7" s="3506"/>
      <c r="D7" s="2470"/>
      <c r="E7" s="2468"/>
      <c r="F7" s="2471"/>
      <c r="G7" s="2471"/>
      <c r="H7" s="2472"/>
      <c r="I7" s="2473">
        <f t="shared" si="0"/>
        <v>0</v>
      </c>
    </row>
    <row r="8" spans="1:9">
      <c r="A8" s="3505"/>
      <c r="B8" s="3506" t="s">
        <v>2482</v>
      </c>
      <c r="C8" s="3506"/>
      <c r="D8" s="2470"/>
      <c r="E8" s="2468"/>
      <c r="F8" s="2471"/>
      <c r="G8" s="2471"/>
      <c r="H8" s="2472"/>
      <c r="I8" s="2473">
        <f t="shared" si="0"/>
        <v>0</v>
      </c>
    </row>
    <row r="9" spans="1:9">
      <c r="A9" s="3505"/>
      <c r="B9" s="3506" t="s">
        <v>2483</v>
      </c>
      <c r="C9" s="3506"/>
      <c r="D9" s="2470"/>
      <c r="E9" s="2468"/>
      <c r="F9" s="2471"/>
      <c r="G9" s="2471"/>
      <c r="H9" s="2472"/>
      <c r="I9" s="2473">
        <f t="shared" si="0"/>
        <v>0</v>
      </c>
    </row>
    <row r="10" spans="1:9">
      <c r="A10" s="3505"/>
      <c r="B10" s="3507" t="s">
        <v>2484</v>
      </c>
      <c r="C10" s="3507"/>
      <c r="D10" s="2474">
        <v>527</v>
      </c>
      <c r="E10" s="2474" t="e">
        <f>ROUND(D1*10000/D10/H9,0)</f>
        <v>#DIV/0!</v>
      </c>
      <c r="F10" s="2475"/>
      <c r="G10" s="2475"/>
      <c r="H10" s="2476"/>
      <c r="I10" s="2477">
        <f>SUM(I3:I9)</f>
        <v>0</v>
      </c>
    </row>
    <row r="11" spans="1:9" ht="14.25">
      <c r="A11" s="3505" t="s">
        <v>2485</v>
      </c>
      <c r="B11" s="3506" t="s">
        <v>2486</v>
      </c>
      <c r="C11" s="3506"/>
      <c r="D11" s="2470" t="s">
        <v>2487</v>
      </c>
      <c r="E11" s="2470" t="s">
        <v>2488</v>
      </c>
      <c r="F11" s="2471" t="s">
        <v>2489</v>
      </c>
      <c r="G11" s="2471" t="s">
        <v>2490</v>
      </c>
      <c r="H11" s="2478" t="s">
        <v>2491</v>
      </c>
      <c r="I11" s="2469" t="s">
        <v>2492</v>
      </c>
    </row>
    <row r="12" spans="1:9">
      <c r="A12" s="3505"/>
      <c r="B12" s="3506" t="s">
        <v>2493</v>
      </c>
      <c r="C12" s="3506"/>
      <c r="D12" s="2470"/>
      <c r="E12" s="2470"/>
      <c r="F12" s="2471"/>
      <c r="G12" s="2472"/>
      <c r="H12" s="2479"/>
      <c r="I12" s="2469">
        <f>ROUND(D12*E12*F12*G12/10000,0)</f>
        <v>0</v>
      </c>
    </row>
    <row r="13" spans="1:9">
      <c r="A13" s="3505"/>
      <c r="B13" s="3506" t="s">
        <v>2494</v>
      </c>
      <c r="C13" s="3506"/>
      <c r="D13" s="2470"/>
      <c r="E13" s="2470"/>
      <c r="F13" s="2471"/>
      <c r="G13" s="2472"/>
      <c r="H13" s="2479"/>
      <c r="I13" s="2469">
        <f>ROUND(D13*E13*F13*G13/10000,0)</f>
        <v>0</v>
      </c>
    </row>
    <row r="14" spans="1:9">
      <c r="A14" s="3505"/>
      <c r="B14" s="3506" t="s">
        <v>2495</v>
      </c>
      <c r="C14" s="3506"/>
      <c r="D14" s="2470"/>
      <c r="E14" s="2470"/>
      <c r="F14" s="2471"/>
      <c r="G14" s="2472"/>
      <c r="H14" s="2479"/>
      <c r="I14" s="2469">
        <f>ROUND(D14*E14*F14*G14/10000,0)</f>
        <v>0</v>
      </c>
    </row>
    <row r="15" spans="1:9">
      <c r="A15" s="3505"/>
      <c r="B15" s="3507" t="s">
        <v>2484</v>
      </c>
      <c r="C15" s="3507"/>
      <c r="D15" s="2474"/>
      <c r="E15" s="2474">
        <f>SUM(E12:E14)</f>
        <v>0</v>
      </c>
      <c r="F15" s="2475"/>
      <c r="G15" s="2472"/>
      <c r="H15" s="2479"/>
      <c r="I15" s="2480">
        <f>SUM(I12:I14)</f>
        <v>0</v>
      </c>
    </row>
    <row r="16" spans="1:9" ht="24">
      <c r="A16" s="3505" t="s">
        <v>2496</v>
      </c>
      <c r="B16" s="3506" t="s">
        <v>2497</v>
      </c>
      <c r="C16" s="3506"/>
      <c r="D16" s="2470" t="s">
        <v>2498</v>
      </c>
      <c r="E16" s="2481" t="s">
        <v>2499</v>
      </c>
      <c r="F16" s="2471" t="s">
        <v>2500</v>
      </c>
      <c r="G16" s="2472" t="s">
        <v>2490</v>
      </c>
      <c r="H16" s="2478" t="s">
        <v>2491</v>
      </c>
      <c r="I16" s="2469" t="s">
        <v>2492</v>
      </c>
    </row>
    <row r="17" spans="1:9" ht="14.25">
      <c r="A17" s="3505"/>
      <c r="B17" s="3506" t="s">
        <v>2501</v>
      </c>
      <c r="C17" s="3506"/>
      <c r="D17" s="2470"/>
      <c r="E17" s="2470"/>
      <c r="F17" s="2471"/>
      <c r="G17" s="2472"/>
      <c r="H17" s="2482"/>
      <c r="I17" s="2483">
        <f>ROUND(D17*E17*F17*G17/10000,0)</f>
        <v>0</v>
      </c>
    </row>
    <row r="18" spans="1:9" ht="14.25">
      <c r="A18" s="3505"/>
      <c r="B18" s="3506" t="s">
        <v>2502</v>
      </c>
      <c r="C18" s="3506"/>
      <c r="D18" s="2470"/>
      <c r="E18" s="2470"/>
      <c r="F18" s="2471"/>
      <c r="G18" s="2472"/>
      <c r="H18" s="2482"/>
      <c r="I18" s="2483">
        <f>ROUND(D18*E18*F18*G18/10000,0)</f>
        <v>0</v>
      </c>
    </row>
    <row r="19" spans="1:9" ht="14.25">
      <c r="A19" s="3505"/>
      <c r="B19" s="3506" t="s">
        <v>2503</v>
      </c>
      <c r="C19" s="3506"/>
      <c r="D19" s="2470"/>
      <c r="E19" s="2470"/>
      <c r="F19" s="2471"/>
      <c r="G19" s="2472"/>
      <c r="H19" s="2482"/>
      <c r="I19" s="2483">
        <f>ROUND(D19*E19*F19*G19/10000,0)</f>
        <v>0</v>
      </c>
    </row>
    <row r="20" spans="1:9">
      <c r="A20" s="3505"/>
      <c r="B20" s="3507" t="s">
        <v>2484</v>
      </c>
      <c r="C20" s="3507"/>
      <c r="D20" s="2474">
        <f>SUM(D17:D19)</f>
        <v>0</v>
      </c>
      <c r="E20" s="2474"/>
      <c r="F20" s="2475"/>
      <c r="G20" s="2472"/>
      <c r="H20" s="2479"/>
      <c r="I20" s="2480">
        <f>SUM(I17:I19)</f>
        <v>0</v>
      </c>
    </row>
    <row r="21" spans="1:9">
      <c r="A21" s="3505" t="s">
        <v>2504</v>
      </c>
      <c r="B21" s="3509"/>
      <c r="C21" s="3509"/>
      <c r="D21" s="3509"/>
      <c r="E21" s="3509"/>
      <c r="F21" s="3509"/>
      <c r="G21" s="3509"/>
      <c r="H21" s="2484">
        <v>0.1</v>
      </c>
      <c r="I21" s="2477">
        <f>ROUND(I10*H21,0)</f>
        <v>0</v>
      </c>
    </row>
    <row r="22" spans="1:9" ht="14.25">
      <c r="A22" s="3510" t="s">
        <v>2505</v>
      </c>
      <c r="B22" s="3511"/>
      <c r="C22" s="3512"/>
      <c r="D22" s="2485" t="s">
        <v>2506</v>
      </c>
      <c r="E22" s="2485" t="s">
        <v>2507</v>
      </c>
      <c r="F22" s="2486" t="s">
        <v>2508</v>
      </c>
      <c r="G22" s="2486" t="s">
        <v>2509</v>
      </c>
      <c r="H22" s="2478" t="s">
        <v>2510</v>
      </c>
      <c r="I22" s="2469" t="s">
        <v>2511</v>
      </c>
    </row>
    <row r="23" spans="1:9" ht="14.25" thickBot="1">
      <c r="A23" s="3513"/>
      <c r="B23" s="3514"/>
      <c r="C23" s="3515"/>
      <c r="D23" s="2487"/>
      <c r="E23" s="2487"/>
      <c r="F23" s="2487"/>
      <c r="G23" s="2488"/>
      <c r="H23" s="2489"/>
      <c r="I23" s="2490">
        <f>ROUND(E23*D23*F23*(1-G23)/10000,0)</f>
        <v>0</v>
      </c>
    </row>
    <row r="26" spans="1:9">
      <c r="A26" s="2491" t="s">
        <v>2512</v>
      </c>
      <c r="B26" s="2491"/>
      <c r="C26" s="2491"/>
      <c r="D26" s="2491"/>
      <c r="E26" s="3516">
        <f>C27-C30-C31-C32</f>
        <v>0</v>
      </c>
      <c r="F26" s="3516"/>
      <c r="G26" s="3516"/>
      <c r="H26" s="2989" t="s">
        <v>2839</v>
      </c>
    </row>
    <row r="27" spans="1:9">
      <c r="A27" s="2492">
        <v>1</v>
      </c>
      <c r="B27" s="2493" t="s">
        <v>2513</v>
      </c>
      <c r="C27" s="2493"/>
      <c r="D27" s="2493"/>
      <c r="E27" s="3517"/>
      <c r="F27" s="3517"/>
      <c r="G27" s="3517"/>
    </row>
    <row r="28" spans="1:9">
      <c r="A28" s="2494" t="s">
        <v>2514</v>
      </c>
      <c r="B28" s="2493" t="s">
        <v>2515</v>
      </c>
      <c r="C28" s="2493"/>
      <c r="D28" s="2493"/>
      <c r="E28" s="3517"/>
      <c r="F28" s="3517"/>
      <c r="G28" s="3517"/>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508"/>
      <c r="F32" s="3508"/>
      <c r="G32" s="3508"/>
    </row>
    <row r="33" spans="1:7" hidden="1">
      <c r="A33" s="3518" t="s">
        <v>2523</v>
      </c>
      <c r="B33" s="3519"/>
      <c r="C33" s="3519"/>
      <c r="D33" s="3520"/>
      <c r="E33" s="3516"/>
      <c r="F33" s="3516"/>
      <c r="G33" s="3516"/>
    </row>
    <row r="34" spans="1:7" hidden="1">
      <c r="A34" s="2496">
        <v>1</v>
      </c>
      <c r="B34" s="2493" t="s">
        <v>2524</v>
      </c>
      <c r="C34" s="2493"/>
      <c r="D34" s="2493"/>
      <c r="E34" s="3517"/>
      <c r="F34" s="3517"/>
      <c r="G34" s="3517"/>
    </row>
    <row r="35" spans="1:7" hidden="1">
      <c r="A35" s="2496">
        <v>2</v>
      </c>
      <c r="B35" s="2493" t="s">
        <v>2525</v>
      </c>
      <c r="C35" s="2493"/>
      <c r="D35" s="2493"/>
      <c r="E35" s="3517"/>
      <c r="F35" s="3517"/>
      <c r="G35" s="3517"/>
    </row>
    <row r="36" spans="1:7" hidden="1">
      <c r="A36" s="2496">
        <v>3</v>
      </c>
      <c r="B36" s="2493" t="s">
        <v>2526</v>
      </c>
      <c r="C36" s="2493"/>
      <c r="D36" s="2493"/>
      <c r="E36" s="3517"/>
      <c r="F36" s="3517"/>
      <c r="G36" s="3517"/>
    </row>
    <row r="37" spans="1:7" hidden="1">
      <c r="A37" s="2496">
        <v>4</v>
      </c>
      <c r="B37" s="2493" t="s">
        <v>2527</v>
      </c>
      <c r="C37" s="2493"/>
      <c r="D37" s="2493"/>
      <c r="E37" s="3517"/>
      <c r="F37" s="3517"/>
      <c r="G37" s="3517"/>
    </row>
    <row r="38" spans="1:7" hidden="1">
      <c r="A38" s="3518" t="s">
        <v>2528</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145126.41</v>
      </c>
      <c r="E10" s="747">
        <f>'数据-取费表'!B31</f>
        <v>100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994</v>
      </c>
      <c r="D12" s="756">
        <f>'数据-汇总表'!E5</f>
        <v>132579.91</v>
      </c>
      <c r="E12" s="755">
        <f>'数据-取费表'!B27</f>
        <v>75</v>
      </c>
      <c r="F12" s="753"/>
      <c r="G12" s="757"/>
    </row>
    <row r="13" spans="1:25" s="2165" customFormat="1" ht="13.5" customHeight="1">
      <c r="A13" s="2437" t="s">
        <v>2444</v>
      </c>
      <c r="B13" s="754" t="s">
        <v>612</v>
      </c>
      <c r="C13" s="755">
        <f>ROUND(D13*E13/10000,0)</f>
        <v>94</v>
      </c>
      <c r="D13" s="756">
        <f>'数据-汇总表'!E6</f>
        <v>12546.5</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70" zoomScaleNormal="70" workbookViewId="0">
      <selection activeCell="E47" sqref="E4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3181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61689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4653</v>
      </c>
      <c r="C3" s="850" t="s">
        <v>722</v>
      </c>
      <c r="D3" s="849">
        <f>SUMIF('数据-汇总表'!$C19:$C33,D1,'数据-汇总表'!$E19:$E33)</f>
        <v>132579.91</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11" t="s">
        <v>522</v>
      </c>
      <c r="D4" s="3412"/>
      <c r="E4" s="3445" t="s">
        <v>523</v>
      </c>
      <c r="F4" s="3446"/>
      <c r="G4" s="3411" t="s">
        <v>524</v>
      </c>
      <c r="H4" s="3412"/>
      <c r="I4" s="3411" t="s">
        <v>525</v>
      </c>
      <c r="J4" s="3412"/>
      <c r="K4" s="851" t="s">
        <v>526</v>
      </c>
      <c r="L4" s="2115"/>
      <c r="M4" s="2116"/>
      <c r="N4" s="2116"/>
      <c r="O4" s="2116"/>
      <c r="P4" s="3413" t="s">
        <v>527</v>
      </c>
      <c r="Q4" s="3414"/>
      <c r="R4" s="3419" t="s">
        <v>523</v>
      </c>
      <c r="S4" s="3420"/>
      <c r="T4" s="3419" t="s">
        <v>524</v>
      </c>
      <c r="U4" s="3420"/>
      <c r="V4" s="3406" t="s">
        <v>525</v>
      </c>
      <c r="W4" s="3406"/>
      <c r="X4" s="1550"/>
      <c r="Y4" s="3419" t="s">
        <v>527</v>
      </c>
      <c r="Z4" s="3420"/>
      <c r="AA4" s="3408" t="s">
        <v>523</v>
      </c>
      <c r="AB4" s="3408" t="s">
        <v>524</v>
      </c>
      <c r="AC4" s="3408" t="s">
        <v>525</v>
      </c>
    </row>
    <row r="5" spans="1:29" ht="15">
      <c r="A5" s="513"/>
      <c r="B5" s="514"/>
      <c r="C5" s="3427" t="s">
        <v>2927</v>
      </c>
      <c r="D5" s="3428"/>
      <c r="E5" s="3447" t="str">
        <f>Sheet4!M3</f>
        <v>宝龙世家</v>
      </c>
      <c r="F5" s="3448"/>
      <c r="G5" s="3427" t="str">
        <f>Sheet4!M4</f>
        <v>融耀新城</v>
      </c>
      <c r="H5" s="3428"/>
      <c r="I5" s="3427" t="str">
        <f>Sheet4!M5</f>
        <v>公园壹号</v>
      </c>
      <c r="J5" s="3428"/>
      <c r="K5" s="852"/>
      <c r="L5" s="2115"/>
      <c r="M5" s="2116"/>
      <c r="N5" s="2116"/>
      <c r="O5" s="2116"/>
      <c r="P5" s="3415"/>
      <c r="Q5" s="3416"/>
      <c r="R5" s="3421"/>
      <c r="S5" s="3422"/>
      <c r="T5" s="3421"/>
      <c r="U5" s="3422"/>
      <c r="V5" s="3406"/>
      <c r="W5" s="3406"/>
      <c r="X5" s="1550"/>
      <c r="Y5" s="3421"/>
      <c r="Z5" s="3422"/>
      <c r="AA5" s="3409"/>
      <c r="AB5" s="3409"/>
      <c r="AC5" s="3409"/>
    </row>
    <row r="6" spans="1:29" ht="15.75" thickBot="1">
      <c r="A6" s="515"/>
      <c r="B6" s="516"/>
      <c r="C6" s="3425" t="s">
        <v>2931</v>
      </c>
      <c r="D6" s="3426"/>
      <c r="E6" s="3443" t="s">
        <v>2931</v>
      </c>
      <c r="F6" s="3444"/>
      <c r="G6" s="3425" t="s">
        <v>2931</v>
      </c>
      <c r="H6" s="3426"/>
      <c r="I6" s="3425" t="s">
        <v>2931</v>
      </c>
      <c r="J6" s="3426"/>
      <c r="K6" s="852" t="s">
        <v>528</v>
      </c>
      <c r="L6" s="2115"/>
      <c r="M6" s="2116"/>
      <c r="N6" s="2116"/>
      <c r="O6" s="2116"/>
      <c r="P6" s="3417"/>
      <c r="Q6" s="3418"/>
      <c r="R6" s="3421"/>
      <c r="S6" s="3422"/>
      <c r="T6" s="3423"/>
      <c r="U6" s="3424"/>
      <c r="V6" s="3406"/>
      <c r="W6" s="3406"/>
      <c r="X6" s="1550"/>
      <c r="Y6" s="3423"/>
      <c r="Z6" s="3424"/>
      <c r="AA6" s="3410"/>
      <c r="AB6" s="3410"/>
      <c r="AC6" s="3410"/>
    </row>
    <row r="7" spans="1:29" s="1213" customFormat="1" ht="15.75" thickBot="1">
      <c r="A7" s="2863"/>
      <c r="B7" s="2870" t="s">
        <v>529</v>
      </c>
      <c r="C7" s="517">
        <f>'数据-取费表'!B2</f>
        <v>43935</v>
      </c>
      <c r="D7" s="518">
        <v>100</v>
      </c>
      <c r="E7" s="519">
        <v>43922</v>
      </c>
      <c r="F7" s="520">
        <f>SUMIF(58:58,YEAR(E7)&amp;"-"&amp;MONTH(E7),59:59)</f>
        <v>100</v>
      </c>
      <c r="G7" s="521">
        <v>43922</v>
      </c>
      <c r="H7" s="518">
        <f>SUMIF(58:58,YEAR(G7)&amp;"-"&amp;MONTH(G7),59:59)</f>
        <v>100</v>
      </c>
      <c r="I7" s="521">
        <v>43922</v>
      </c>
      <c r="J7" s="518">
        <f>SUMIF(58:58,YEAR(I7)&amp;"-"&amp;MONTH(I7),59:59)</f>
        <v>100</v>
      </c>
      <c r="K7" s="853"/>
      <c r="L7" s="2117"/>
      <c r="M7" s="2118"/>
      <c r="N7" s="2118"/>
      <c r="O7" s="2118"/>
      <c r="P7" s="3436" t="s">
        <v>530</v>
      </c>
      <c r="Q7" s="3438"/>
      <c r="R7" s="1551" t="s">
        <v>13</v>
      </c>
      <c r="S7" s="1552">
        <f t="shared" ref="S7:S15" si="0">F7</f>
        <v>100</v>
      </c>
      <c r="T7" s="1551" t="s">
        <v>13</v>
      </c>
      <c r="U7" s="1552">
        <f t="shared" ref="U7:U15" si="1">H7</f>
        <v>100</v>
      </c>
      <c r="V7" s="1551" t="s">
        <v>13</v>
      </c>
      <c r="W7" s="1552">
        <f t="shared" ref="W7:W15" si="2">J7</f>
        <v>100</v>
      </c>
      <c r="X7" s="1553"/>
      <c r="Y7" s="3436" t="s">
        <v>530</v>
      </c>
      <c r="Z7" s="3437"/>
      <c r="AA7" s="1554">
        <f>D7/F7</f>
        <v>1</v>
      </c>
      <c r="AB7" s="1554">
        <f>D7/H7</f>
        <v>1</v>
      </c>
      <c r="AC7" s="1554">
        <f>D7/J7</f>
        <v>1</v>
      </c>
    </row>
    <row r="8" spans="1:29" s="1213" customFormat="1" ht="15.75" thickBot="1">
      <c r="A8" s="2864"/>
      <c r="B8" s="2871" t="s">
        <v>531</v>
      </c>
      <c r="C8" s="523" t="s">
        <v>576</v>
      </c>
      <c r="D8" s="518">
        <v>100</v>
      </c>
      <c r="E8" s="3207" t="s">
        <v>3172</v>
      </c>
      <c r="F8" s="520">
        <f>SUMIF(61:61,E8,62:62)-SUMIF(61:61,C8,62:62)+100</f>
        <v>100</v>
      </c>
      <c r="G8" s="3182" t="s">
        <v>3172</v>
      </c>
      <c r="H8" s="518">
        <f>SUMIF(61:61,G8,62:62)-SUMIF(61:61,C8,62:62)+100</f>
        <v>100</v>
      </c>
      <c r="I8" s="3207" t="s">
        <v>3172</v>
      </c>
      <c r="J8" s="518">
        <f>SUMIF(61:61,I8,62:62)-SUMIF(61:61,C8,62:62)+100</f>
        <v>100</v>
      </c>
      <c r="K8" s="853"/>
      <c r="L8" s="2117"/>
      <c r="M8" s="2118"/>
      <c r="N8" s="2118"/>
      <c r="O8" s="2118"/>
      <c r="P8" s="3436" t="s">
        <v>533</v>
      </c>
      <c r="Q8" s="3437"/>
      <c r="R8" s="1551" t="s">
        <v>13</v>
      </c>
      <c r="S8" s="1552">
        <f t="shared" si="0"/>
        <v>100</v>
      </c>
      <c r="T8" s="1551" t="s">
        <v>13</v>
      </c>
      <c r="U8" s="1552">
        <f t="shared" si="1"/>
        <v>100</v>
      </c>
      <c r="V8" s="1551" t="s">
        <v>13</v>
      </c>
      <c r="W8" s="1552">
        <f t="shared" si="2"/>
        <v>100</v>
      </c>
      <c r="X8" s="1553"/>
      <c r="Y8" s="3436" t="s">
        <v>533</v>
      </c>
      <c r="Z8" s="3437"/>
      <c r="AA8" s="1554">
        <f t="shared" ref="AA8:AA46" si="3">D8/F8</f>
        <v>1</v>
      </c>
      <c r="AB8" s="1554">
        <f t="shared" ref="AB8:AB46" si="4">D8/H8</f>
        <v>1</v>
      </c>
      <c r="AC8" s="1554">
        <f t="shared" ref="AC8:AC46" si="5">D8/J8</f>
        <v>1</v>
      </c>
    </row>
    <row r="9" spans="1:29" s="1213" customFormat="1" ht="15">
      <c r="A9" s="2865"/>
      <c r="B9" s="2872" t="s">
        <v>2752</v>
      </c>
      <c r="C9" s="3208" t="s">
        <v>3173</v>
      </c>
      <c r="D9" s="252">
        <v>100</v>
      </c>
      <c r="E9" s="3209" t="s">
        <v>3173</v>
      </c>
      <c r="F9" s="857">
        <f>SUMIF(63:63,E9,64:64)-SUMIF(63:63,C9,64:64)+100</f>
        <v>100</v>
      </c>
      <c r="G9" s="3210" t="s">
        <v>3173</v>
      </c>
      <c r="H9" s="252">
        <f>SUMIF(63:63,G9,64:64)-SUMIF(63:63,C9,64:64)+100</f>
        <v>100</v>
      </c>
      <c r="I9" s="3210" t="s">
        <v>3174</v>
      </c>
      <c r="J9" s="252">
        <f>SUMIF(63:63,I9,64:64)-SUMIF(63:63,C9,64:64)+100</f>
        <v>100</v>
      </c>
      <c r="K9" s="853"/>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51" t="s">
        <v>536</v>
      </c>
      <c r="Z9" s="1143" t="str">
        <f t="shared" ref="Z9:Z15" si="7">Q9</f>
        <v>用途</v>
      </c>
      <c r="AA9" s="1554">
        <f t="shared" si="3"/>
        <v>1</v>
      </c>
      <c r="AB9" s="1554">
        <f t="shared" si="4"/>
        <v>1</v>
      </c>
      <c r="AC9" s="1554">
        <f t="shared" si="5"/>
        <v>1</v>
      </c>
    </row>
    <row r="10" spans="1:29" s="1331" customFormat="1" ht="27">
      <c r="A10" s="2866"/>
      <c r="B10" s="2871" t="s">
        <v>2753</v>
      </c>
      <c r="C10" s="859" t="s">
        <v>3175</v>
      </c>
      <c r="D10" s="253">
        <v>100</v>
      </c>
      <c r="E10" s="860" t="s">
        <v>3175</v>
      </c>
      <c r="F10" s="861">
        <f>SUMIF(65:65,E10,66:66)-SUMIF(65:65,C10,66:66)+100</f>
        <v>100</v>
      </c>
      <c r="G10" s="859" t="s">
        <v>3175</v>
      </c>
      <c r="H10" s="253">
        <f>SUMIF(65:65,G10,66:66)-SUMIF(65:65,C10,66:66)+100</f>
        <v>100</v>
      </c>
      <c r="I10" s="859" t="s">
        <v>3175</v>
      </c>
      <c r="J10" s="253">
        <f>SUMIF(65:65,I10,66:66)-SUMIF(65:65,C10,66:66)+100</f>
        <v>100</v>
      </c>
      <c r="K10" s="862"/>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7"/>
      <c r="B11" s="2871" t="s">
        <v>2754</v>
      </c>
      <c r="C11" s="531">
        <f>'数据-汇总表'!I7</f>
        <v>1.94</v>
      </c>
      <c r="D11" s="253">
        <v>100</v>
      </c>
      <c r="E11" s="532">
        <f>Sheet4!N3</f>
        <v>2.4700000000000002</v>
      </c>
      <c r="F11" s="861">
        <f>LOOKUP(E11,68:68,69:69)-LOOKUP(C11,68:68,69:69)+100</f>
        <v>98</v>
      </c>
      <c r="G11" s="531">
        <f>Sheet4!N4</f>
        <v>2.61</v>
      </c>
      <c r="H11" s="253">
        <f>LOOKUP(G11,68:68,69:69)-LOOKUP(C11,68:68,69:69)+100</f>
        <v>98</v>
      </c>
      <c r="I11" s="531">
        <f>Sheet4!N5</f>
        <v>2.17</v>
      </c>
      <c r="J11" s="253">
        <f>LOOKUP(I11,68:68,69:69)-LOOKUP(C11,68:68,69:69)+100</f>
        <v>98</v>
      </c>
      <c r="K11" s="862">
        <v>2</v>
      </c>
      <c r="L11" s="2122"/>
      <c r="M11" s="2116"/>
      <c r="N11" s="2116"/>
      <c r="O11" s="2123"/>
      <c r="P11" s="3405"/>
      <c r="Q11" s="1144" t="str">
        <f t="shared" si="6"/>
        <v>容积率</v>
      </c>
      <c r="R11" s="1551" t="s">
        <v>11</v>
      </c>
      <c r="S11" s="1552">
        <f t="shared" si="0"/>
        <v>98</v>
      </c>
      <c r="T11" s="1551" t="s">
        <v>11</v>
      </c>
      <c r="U11" s="1552">
        <f t="shared" si="1"/>
        <v>98</v>
      </c>
      <c r="V11" s="1551" t="s">
        <v>11</v>
      </c>
      <c r="W11" s="1552">
        <f t="shared" si="2"/>
        <v>98</v>
      </c>
      <c r="X11" s="1553"/>
      <c r="Y11" s="3351"/>
      <c r="Z11" s="1143" t="str">
        <f t="shared" si="7"/>
        <v>容积率</v>
      </c>
      <c r="AA11" s="1554">
        <f t="shared" si="3"/>
        <v>1.0204081632653061</v>
      </c>
      <c r="AB11" s="1554">
        <f t="shared" si="4"/>
        <v>1.0204081632653061</v>
      </c>
      <c r="AC11" s="1554">
        <f t="shared" si="5"/>
        <v>1.0204081632653061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05"/>
      <c r="Q12" s="1144">
        <f t="shared" si="6"/>
        <v>111</v>
      </c>
      <c r="R12" s="1551" t="s">
        <v>11</v>
      </c>
      <c r="S12" s="1552">
        <f t="shared" si="0"/>
        <v>100</v>
      </c>
      <c r="T12" s="1551" t="s">
        <v>11</v>
      </c>
      <c r="U12" s="1552">
        <f t="shared" si="1"/>
        <v>100</v>
      </c>
      <c r="V12" s="1551" t="s">
        <v>11</v>
      </c>
      <c r="W12" s="1552">
        <f t="shared" si="2"/>
        <v>100</v>
      </c>
      <c r="X12" s="1553"/>
      <c r="Y12" s="3351"/>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05"/>
      <c r="Q13" s="1144">
        <f t="shared" si="6"/>
        <v>111</v>
      </c>
      <c r="R13" s="1551" t="s">
        <v>11</v>
      </c>
      <c r="S13" s="1552">
        <f t="shared" si="0"/>
        <v>100</v>
      </c>
      <c r="T13" s="1551" t="s">
        <v>11</v>
      </c>
      <c r="U13" s="1552">
        <f t="shared" si="1"/>
        <v>100</v>
      </c>
      <c r="V13" s="1551" t="s">
        <v>11</v>
      </c>
      <c r="W13" s="1552">
        <f t="shared" si="2"/>
        <v>100</v>
      </c>
      <c r="X13" s="1553"/>
      <c r="Y13" s="3351"/>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05"/>
      <c r="Q14" s="1144">
        <f t="shared" si="6"/>
        <v>111</v>
      </c>
      <c r="R14" s="1551" t="s">
        <v>11</v>
      </c>
      <c r="S14" s="1552">
        <f t="shared" si="0"/>
        <v>100</v>
      </c>
      <c r="T14" s="1551" t="s">
        <v>11</v>
      </c>
      <c r="U14" s="1552">
        <f t="shared" si="1"/>
        <v>100</v>
      </c>
      <c r="V14" s="1551" t="s">
        <v>11</v>
      </c>
      <c r="W14" s="1552">
        <f t="shared" si="2"/>
        <v>100</v>
      </c>
      <c r="X14" s="1553"/>
      <c r="Y14" s="3351"/>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102</v>
      </c>
      <c r="K15" s="866">
        <v>2</v>
      </c>
      <c r="L15" s="2124"/>
      <c r="M15" s="2116"/>
      <c r="N15" s="2116"/>
      <c r="O15" s="2123"/>
      <c r="P15" s="3439" t="s">
        <v>540</v>
      </c>
      <c r="Q15" s="1555" t="str">
        <f t="shared" si="6"/>
        <v>居住社区成熟度</v>
      </c>
      <c r="R15" s="1556" t="s">
        <v>11</v>
      </c>
      <c r="S15" s="1557">
        <f t="shared" si="0"/>
        <v>100</v>
      </c>
      <c r="T15" s="1556" t="s">
        <v>11</v>
      </c>
      <c r="U15" s="1557">
        <f t="shared" si="1"/>
        <v>100</v>
      </c>
      <c r="V15" s="1556" t="s">
        <v>11</v>
      </c>
      <c r="W15" s="1557">
        <f t="shared" si="2"/>
        <v>102</v>
      </c>
      <c r="X15" s="1550"/>
      <c r="Y15" s="3439" t="s">
        <v>540</v>
      </c>
      <c r="Z15" s="1558" t="str">
        <f t="shared" si="7"/>
        <v>居住社区成熟度</v>
      </c>
      <c r="AA15" s="1559">
        <f t="shared" si="3"/>
        <v>1</v>
      </c>
      <c r="AB15" s="1559">
        <f t="shared" si="4"/>
        <v>1</v>
      </c>
      <c r="AC15" s="1559">
        <f t="shared" si="5"/>
        <v>0.98039215686274506</v>
      </c>
    </row>
    <row r="16" spans="1:29" ht="15">
      <c r="A16" s="530"/>
      <c r="B16" s="867"/>
      <c r="C16" s="3188" t="s">
        <v>3176</v>
      </c>
      <c r="D16" s="553"/>
      <c r="E16" s="3187" t="s">
        <v>3176</v>
      </c>
      <c r="F16" s="555"/>
      <c r="G16" s="3186" t="s">
        <v>3176</v>
      </c>
      <c r="H16" s="557"/>
      <c r="I16" s="3187" t="s">
        <v>3177</v>
      </c>
      <c r="J16" s="553"/>
      <c r="K16" s="868"/>
      <c r="L16" s="2124"/>
      <c r="M16" s="2116"/>
      <c r="N16" s="2116"/>
      <c r="O16" s="2123"/>
      <c r="P16" s="3440"/>
      <c r="Q16" s="1555"/>
      <c r="R16" s="1556"/>
      <c r="S16" s="1557"/>
      <c r="T16" s="1556"/>
      <c r="U16" s="1557"/>
      <c r="V16" s="1556"/>
      <c r="W16" s="1557"/>
      <c r="X16" s="1550"/>
      <c r="Y16" s="344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24"/>
      <c r="M17" s="2116"/>
      <c r="N17" s="2116"/>
      <c r="O17" s="2123"/>
      <c r="P17" s="3440"/>
      <c r="Q17" s="1555" t="str">
        <f>B17</f>
        <v>交通便捷度</v>
      </c>
      <c r="R17" s="1556" t="s">
        <v>11</v>
      </c>
      <c r="S17" s="1557">
        <f>F17</f>
        <v>100</v>
      </c>
      <c r="T17" s="1556" t="s">
        <v>11</v>
      </c>
      <c r="U17" s="1557">
        <f>H17</f>
        <v>100</v>
      </c>
      <c r="V17" s="1556" t="s">
        <v>11</v>
      </c>
      <c r="W17" s="1557">
        <f>J17</f>
        <v>102</v>
      </c>
      <c r="X17" s="1550"/>
      <c r="Y17" s="3440"/>
      <c r="Z17" s="1558" t="str">
        <f>Q17</f>
        <v>交通便捷度</v>
      </c>
      <c r="AA17" s="1559">
        <f t="shared" si="3"/>
        <v>1</v>
      </c>
      <c r="AB17" s="1559">
        <f t="shared" si="4"/>
        <v>1</v>
      </c>
      <c r="AC17" s="1559">
        <f t="shared" si="5"/>
        <v>0.98039215686274506</v>
      </c>
    </row>
    <row r="18" spans="1:29" ht="15">
      <c r="A18" s="530"/>
      <c r="B18" s="593"/>
      <c r="C18" s="3211" t="s">
        <v>3197</v>
      </c>
      <c r="D18" s="557"/>
      <c r="E18" s="3212" t="s">
        <v>3197</v>
      </c>
      <c r="F18" s="561"/>
      <c r="G18" s="3213" t="s">
        <v>3197</v>
      </c>
      <c r="H18" s="553"/>
      <c r="I18" s="3212" t="s">
        <v>3177</v>
      </c>
      <c r="J18" s="553"/>
      <c r="K18" s="868"/>
      <c r="L18" s="2124"/>
      <c r="M18" s="2116"/>
      <c r="N18" s="2116"/>
      <c r="O18" s="2123"/>
      <c r="P18" s="3440"/>
      <c r="Q18" s="1555"/>
      <c r="R18" s="1556"/>
      <c r="S18" s="1557"/>
      <c r="T18" s="1556"/>
      <c r="U18" s="1557"/>
      <c r="V18" s="1556"/>
      <c r="W18" s="1557"/>
      <c r="X18" s="1550"/>
      <c r="Y18" s="3440"/>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102</v>
      </c>
      <c r="I19" s="568"/>
      <c r="J19" s="557">
        <f>SUMIF(80:80,I20,81:81)-SUMIF(80:80,C20,81:81)+100</f>
        <v>102</v>
      </c>
      <c r="K19" s="866">
        <v>2</v>
      </c>
      <c r="L19" s="2124"/>
      <c r="M19" s="2116"/>
      <c r="N19" s="2116"/>
      <c r="O19" s="2123"/>
      <c r="P19" s="3440"/>
      <c r="Q19" s="1555" t="str">
        <f>B19</f>
        <v>公共配套设施</v>
      </c>
      <c r="R19" s="1556" t="s">
        <v>11</v>
      </c>
      <c r="S19" s="1557">
        <f>F19</f>
        <v>100</v>
      </c>
      <c r="T19" s="1556" t="s">
        <v>11</v>
      </c>
      <c r="U19" s="1557">
        <f>H19</f>
        <v>102</v>
      </c>
      <c r="V19" s="1556" t="s">
        <v>11</v>
      </c>
      <c r="W19" s="1557">
        <f>J19</f>
        <v>102</v>
      </c>
      <c r="X19" s="1550"/>
      <c r="Y19" s="3440"/>
      <c r="Z19" s="1558" t="str">
        <f>Q19</f>
        <v>公共配套设施</v>
      </c>
      <c r="AA19" s="1559">
        <f t="shared" si="3"/>
        <v>1</v>
      </c>
      <c r="AB19" s="1559">
        <f t="shared" si="4"/>
        <v>0.98039215686274506</v>
      </c>
      <c r="AC19" s="1559">
        <f t="shared" si="5"/>
        <v>0.98039215686274506</v>
      </c>
    </row>
    <row r="20" spans="1:29" ht="15">
      <c r="A20" s="530"/>
      <c r="B20" s="593"/>
      <c r="C20" s="3188" t="s">
        <v>3176</v>
      </c>
      <c r="D20" s="553"/>
      <c r="E20" s="3187" t="s">
        <v>3176</v>
      </c>
      <c r="F20" s="555"/>
      <c r="G20" s="3186" t="s">
        <v>3199</v>
      </c>
      <c r="H20" s="553"/>
      <c r="I20" s="3187" t="s">
        <v>3177</v>
      </c>
      <c r="J20" s="553"/>
      <c r="K20" s="868"/>
      <c r="L20" s="2124"/>
      <c r="M20" s="2116"/>
      <c r="N20" s="2116"/>
      <c r="O20" s="2123"/>
      <c r="P20" s="3440"/>
      <c r="Q20" s="1555"/>
      <c r="R20" s="1556"/>
      <c r="S20" s="1557"/>
      <c r="T20" s="1556"/>
      <c r="U20" s="1557"/>
      <c r="V20" s="1556"/>
      <c r="W20" s="1557"/>
      <c r="X20" s="1550"/>
      <c r="Y20" s="3440"/>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40"/>
      <c r="Q21" s="2540" t="str">
        <f>B21</f>
        <v>基础设施水平</v>
      </c>
      <c r="R21" s="1556" t="s">
        <v>11</v>
      </c>
      <c r="S21" s="1557">
        <f>F21</f>
        <v>100</v>
      </c>
      <c r="T21" s="1556" t="s">
        <v>11</v>
      </c>
      <c r="U21" s="1557">
        <f>H21</f>
        <v>100</v>
      </c>
      <c r="V21" s="1556" t="s">
        <v>11</v>
      </c>
      <c r="W21" s="1557">
        <f>J21</f>
        <v>100</v>
      </c>
      <c r="X21" s="2542"/>
      <c r="Y21" s="3440"/>
      <c r="Z21" s="2541" t="str">
        <f>Q21</f>
        <v>基础设施水平</v>
      </c>
      <c r="AA21" s="1559">
        <f>D21/F21</f>
        <v>1</v>
      </c>
      <c r="AB21" s="1559">
        <f>D21/H21</f>
        <v>1</v>
      </c>
      <c r="AC21" s="1559">
        <f>D21/J21</f>
        <v>1</v>
      </c>
    </row>
    <row r="22" spans="1:29" ht="15">
      <c r="A22" s="530"/>
      <c r="B22" s="919"/>
      <c r="C22" s="3211" t="s">
        <v>3178</v>
      </c>
      <c r="D22" s="553"/>
      <c r="E22" s="3188" t="s">
        <v>3179</v>
      </c>
      <c r="F22" s="555"/>
      <c r="G22" s="3188" t="s">
        <v>3178</v>
      </c>
      <c r="H22" s="553"/>
      <c r="I22" s="3188" t="s">
        <v>3179</v>
      </c>
      <c r="J22" s="553"/>
      <c r="K22" s="2560"/>
      <c r="L22" s="2124"/>
      <c r="M22" s="2116"/>
      <c r="N22" s="2116"/>
      <c r="O22" s="2123"/>
      <c r="P22" s="3440"/>
      <c r="Q22" s="2540"/>
      <c r="R22" s="1556"/>
      <c r="S22" s="1557"/>
      <c r="T22" s="1556"/>
      <c r="U22" s="1557"/>
      <c r="V22" s="1556"/>
      <c r="W22" s="1557"/>
      <c r="X22" s="2542"/>
      <c r="Y22" s="3440"/>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40"/>
      <c r="Q23" s="1555" t="str">
        <f>B23</f>
        <v>自然及人文环境</v>
      </c>
      <c r="R23" s="1556" t="s">
        <v>11</v>
      </c>
      <c r="S23" s="1557">
        <f>F23</f>
        <v>100</v>
      </c>
      <c r="T23" s="1556" t="s">
        <v>11</v>
      </c>
      <c r="U23" s="1557">
        <f>H23</f>
        <v>100</v>
      </c>
      <c r="V23" s="1556" t="s">
        <v>11</v>
      </c>
      <c r="W23" s="1557">
        <f>J23</f>
        <v>102</v>
      </c>
      <c r="X23" s="1550"/>
      <c r="Y23" s="3440"/>
      <c r="Z23" s="1558" t="str">
        <f>Q23</f>
        <v>自然及人文环境</v>
      </c>
      <c r="AA23" s="1559">
        <f t="shared" si="3"/>
        <v>1</v>
      </c>
      <c r="AB23" s="1559">
        <f t="shared" si="4"/>
        <v>1</v>
      </c>
      <c r="AC23" s="1559">
        <f t="shared" si="5"/>
        <v>0.98039215686274506</v>
      </c>
    </row>
    <row r="24" spans="1:29" ht="15">
      <c r="A24" s="530"/>
      <c r="B24" s="593"/>
      <c r="C24" s="3188" t="s">
        <v>3198</v>
      </c>
      <c r="D24" s="553"/>
      <c r="E24" s="3187" t="s">
        <v>3198</v>
      </c>
      <c r="F24" s="555"/>
      <c r="G24" s="3186" t="s">
        <v>3198</v>
      </c>
      <c r="H24" s="553"/>
      <c r="I24" s="3187" t="s">
        <v>3197</v>
      </c>
      <c r="J24" s="553"/>
      <c r="K24" s="868"/>
      <c r="L24" s="2124"/>
      <c r="M24" s="2116"/>
      <c r="N24" s="2116"/>
      <c r="O24" s="2123"/>
      <c r="P24" s="3440"/>
      <c r="Q24" s="1555"/>
      <c r="R24" s="1556"/>
      <c r="S24" s="1557"/>
      <c r="T24" s="1556"/>
      <c r="U24" s="1557"/>
      <c r="V24" s="1556"/>
      <c r="W24" s="1557"/>
      <c r="X24" s="1550"/>
      <c r="Y24" s="3440"/>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40"/>
      <c r="Q25" s="1555" t="str">
        <f t="shared" ref="Q25:Q46" si="8">B25</f>
        <v>楼层-1</v>
      </c>
      <c r="R25" s="1556" t="s">
        <v>11</v>
      </c>
      <c r="S25" s="1557">
        <f>F25</f>
        <v>100</v>
      </c>
      <c r="T25" s="1556" t="s">
        <v>11</v>
      </c>
      <c r="U25" s="1557">
        <f>H25</f>
        <v>100</v>
      </c>
      <c r="V25" s="1556" t="s">
        <v>11</v>
      </c>
      <c r="W25" s="1557">
        <f>J25</f>
        <v>100</v>
      </c>
      <c r="X25" s="1550"/>
      <c r="Y25" s="3440"/>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40"/>
      <c r="Q26" s="1555" t="str">
        <f t="shared" si="8"/>
        <v>朝向</v>
      </c>
      <c r="R26" s="1556" t="s">
        <v>11</v>
      </c>
      <c r="S26" s="1557">
        <f>F26</f>
        <v>100</v>
      </c>
      <c r="T26" s="1556" t="s">
        <v>11</v>
      </c>
      <c r="U26" s="1557">
        <f>H26</f>
        <v>100</v>
      </c>
      <c r="V26" s="1556" t="s">
        <v>11</v>
      </c>
      <c r="W26" s="1557">
        <f>J26</f>
        <v>100</v>
      </c>
      <c r="X26" s="1550"/>
      <c r="Y26" s="3440"/>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40"/>
      <c r="Q27" s="1144" t="str">
        <f t="shared" si="8"/>
        <v>道路级别</v>
      </c>
      <c r="R27" s="1551" t="s">
        <v>11</v>
      </c>
      <c r="S27" s="1552">
        <f>F27</f>
        <v>100</v>
      </c>
      <c r="T27" s="1551" t="s">
        <v>11</v>
      </c>
      <c r="U27" s="1552">
        <f>H27</f>
        <v>100</v>
      </c>
      <c r="V27" s="1551" t="s">
        <v>11</v>
      </c>
      <c r="W27" s="1552">
        <f>J27</f>
        <v>100</v>
      </c>
      <c r="X27" s="1553"/>
      <c r="Y27" s="3440"/>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40"/>
      <c r="Q28" s="1555">
        <f t="shared" si="8"/>
        <v>111</v>
      </c>
      <c r="R28" s="1556" t="s">
        <v>11</v>
      </c>
      <c r="S28" s="1557">
        <f t="shared" ref="S28:S46" si="9">F28</f>
        <v>100</v>
      </c>
      <c r="T28" s="1556" t="s">
        <v>11</v>
      </c>
      <c r="U28" s="1557">
        <f t="shared" ref="U28:U46" si="10">H28</f>
        <v>100</v>
      </c>
      <c r="V28" s="1556" t="s">
        <v>11</v>
      </c>
      <c r="W28" s="1557">
        <f t="shared" ref="W28:W46" si="11">J28</f>
        <v>100</v>
      </c>
      <c r="X28" s="1550"/>
      <c r="Y28" s="3440"/>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40"/>
      <c r="Q29" s="1555">
        <f t="shared" si="8"/>
        <v>111</v>
      </c>
      <c r="R29" s="1556" t="s">
        <v>11</v>
      </c>
      <c r="S29" s="1557">
        <f t="shared" si="9"/>
        <v>100</v>
      </c>
      <c r="T29" s="1556" t="s">
        <v>11</v>
      </c>
      <c r="U29" s="1557">
        <f t="shared" si="10"/>
        <v>100</v>
      </c>
      <c r="V29" s="1556" t="s">
        <v>11</v>
      </c>
      <c r="W29" s="1557">
        <f t="shared" si="11"/>
        <v>100</v>
      </c>
      <c r="X29" s="1550"/>
      <c r="Y29" s="3440"/>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40"/>
      <c r="Q30" s="1555">
        <f t="shared" si="8"/>
        <v>111</v>
      </c>
      <c r="R30" s="1556" t="s">
        <v>11</v>
      </c>
      <c r="S30" s="1557">
        <f t="shared" si="9"/>
        <v>100</v>
      </c>
      <c r="T30" s="1556" t="s">
        <v>11</v>
      </c>
      <c r="U30" s="1557">
        <f t="shared" si="10"/>
        <v>100</v>
      </c>
      <c r="V30" s="1556" t="s">
        <v>11</v>
      </c>
      <c r="W30" s="1557">
        <f t="shared" si="11"/>
        <v>100</v>
      </c>
      <c r="X30" s="1550"/>
      <c r="Y30" s="3440"/>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40"/>
      <c r="Q31" s="1555">
        <f t="shared" si="8"/>
        <v>111</v>
      </c>
      <c r="R31" s="1556" t="s">
        <v>11</v>
      </c>
      <c r="S31" s="1557">
        <f t="shared" si="9"/>
        <v>100</v>
      </c>
      <c r="T31" s="1556" t="s">
        <v>11</v>
      </c>
      <c r="U31" s="1557">
        <f t="shared" si="10"/>
        <v>100</v>
      </c>
      <c r="V31" s="1556" t="s">
        <v>11</v>
      </c>
      <c r="W31" s="1557">
        <f t="shared" si="11"/>
        <v>100</v>
      </c>
      <c r="X31" s="1550"/>
      <c r="Y31" s="3440"/>
      <c r="Z31" s="1558">
        <f t="shared" si="12"/>
        <v>111</v>
      </c>
      <c r="AA31" s="1559">
        <f t="shared" si="3"/>
        <v>1</v>
      </c>
      <c r="AB31" s="1559">
        <f t="shared" si="4"/>
        <v>1</v>
      </c>
      <c r="AC31" s="1559">
        <f t="shared" si="5"/>
        <v>1</v>
      </c>
    </row>
    <row r="32" spans="1:29" ht="15">
      <c r="A32" s="2859" t="s">
        <v>2751</v>
      </c>
      <c r="B32" s="172" t="s">
        <v>725</v>
      </c>
      <c r="C32" s="3214" t="s">
        <v>3180</v>
      </c>
      <c r="D32" s="595">
        <v>100</v>
      </c>
      <c r="E32" s="3215" t="s">
        <v>3180</v>
      </c>
      <c r="F32" s="573">
        <f>SUMIF(100:100,E32,101:101)-SUMIF(100:100,C32,101:101)+100</f>
        <v>100</v>
      </c>
      <c r="G32" s="3214" t="s">
        <v>3180</v>
      </c>
      <c r="H32" s="595">
        <f>SUMIF(100:100,G32,101:101)-SUMIF(100:100,C32,101:101)+100</f>
        <v>100</v>
      </c>
      <c r="I32" s="3215" t="s">
        <v>3180</v>
      </c>
      <c r="J32" s="538">
        <f>SUMIF(100:100,I32,101:101)-SUMIF(100:100,C32,101:101)+100</f>
        <v>100</v>
      </c>
      <c r="K32" s="862"/>
      <c r="L32" s="2124"/>
      <c r="M32" s="2116"/>
      <c r="N32" s="2116"/>
      <c r="O32" s="2123"/>
      <c r="P32" s="3441" t="s">
        <v>550</v>
      </c>
      <c r="Q32" s="1555" t="str">
        <f t="shared" si="8"/>
        <v>建筑类型</v>
      </c>
      <c r="R32" s="1556" t="s">
        <v>11</v>
      </c>
      <c r="S32" s="1557">
        <f t="shared" si="9"/>
        <v>100</v>
      </c>
      <c r="T32" s="1556" t="s">
        <v>11</v>
      </c>
      <c r="U32" s="1557">
        <f t="shared" si="10"/>
        <v>100</v>
      </c>
      <c r="V32" s="1556" t="s">
        <v>11</v>
      </c>
      <c r="W32" s="1557">
        <f t="shared" si="11"/>
        <v>100</v>
      </c>
      <c r="X32" s="1550"/>
      <c r="Y32" s="3442" t="s">
        <v>550</v>
      </c>
      <c r="Z32" s="1558" t="str">
        <f t="shared" si="12"/>
        <v>建筑类型</v>
      </c>
      <c r="AA32" s="1559">
        <f t="shared" si="3"/>
        <v>1</v>
      </c>
      <c r="AB32" s="1559">
        <f t="shared" si="4"/>
        <v>1</v>
      </c>
      <c r="AC32" s="1559">
        <f t="shared" si="5"/>
        <v>1</v>
      </c>
    </row>
    <row r="33" spans="1:29" s="1332" customFormat="1" ht="15">
      <c r="A33" s="601"/>
      <c r="B33" s="525" t="s">
        <v>726</v>
      </c>
      <c r="C33" s="877">
        <f>Sheet2!E3</f>
        <v>618790.86</v>
      </c>
      <c r="D33" s="253">
        <v>100</v>
      </c>
      <c r="E33" s="532">
        <f>Sheet4!O3</f>
        <v>640000</v>
      </c>
      <c r="F33" s="861">
        <f>LOOKUP(E33,103:103,104:104)-LOOKUP(C33,103:103,104:104)+100</f>
        <v>100</v>
      </c>
      <c r="G33" s="531">
        <f>Sheet4!O4</f>
        <v>500000</v>
      </c>
      <c r="H33" s="253">
        <f>LOOKUP(G33,103:103,104:104)-LOOKUP(C33,103:103,104:104)+100</f>
        <v>98</v>
      </c>
      <c r="I33" s="532">
        <f>Sheet4!O5</f>
        <v>304800</v>
      </c>
      <c r="J33" s="253">
        <f>LOOKUP(I33,103:103,104:104)-LOOKUP(C33,103:103,104:104)+100</f>
        <v>96</v>
      </c>
      <c r="K33" s="863"/>
      <c r="L33" s="2122"/>
      <c r="M33" s="2153"/>
      <c r="N33" s="2153"/>
      <c r="O33" s="2125"/>
      <c r="P33" s="3442"/>
      <c r="Q33" s="1587" t="str">
        <f t="shared" si="8"/>
        <v>项目建筑规模</v>
      </c>
      <c r="R33" s="1560" t="s">
        <v>11</v>
      </c>
      <c r="S33" s="1561">
        <f t="shared" si="9"/>
        <v>100</v>
      </c>
      <c r="T33" s="1560" t="s">
        <v>11</v>
      </c>
      <c r="U33" s="1561">
        <f t="shared" si="10"/>
        <v>98</v>
      </c>
      <c r="V33" s="1560" t="s">
        <v>11</v>
      </c>
      <c r="W33" s="1561">
        <f t="shared" si="11"/>
        <v>96</v>
      </c>
      <c r="X33" s="1562"/>
      <c r="Y33" s="3442"/>
      <c r="Z33" s="1563" t="str">
        <f t="shared" si="12"/>
        <v>项目建筑规模</v>
      </c>
      <c r="AA33" s="1559">
        <f t="shared" si="3"/>
        <v>1</v>
      </c>
      <c r="AB33" s="1559">
        <f t="shared" si="4"/>
        <v>1.0204081632653061</v>
      </c>
      <c r="AC33" s="1559">
        <f t="shared" si="5"/>
        <v>1.0416666666666667</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24"/>
      <c r="M34" s="2116"/>
      <c r="N34" s="2116"/>
      <c r="O34" s="2123"/>
      <c r="P34" s="3442"/>
      <c r="Q34" s="1555" t="str">
        <f t="shared" si="8"/>
        <v>建筑结构</v>
      </c>
      <c r="R34" s="1556" t="s">
        <v>11</v>
      </c>
      <c r="S34" s="1557">
        <f t="shared" si="9"/>
        <v>100</v>
      </c>
      <c r="T34" s="1556" t="s">
        <v>11</v>
      </c>
      <c r="U34" s="1557">
        <f t="shared" si="10"/>
        <v>100</v>
      </c>
      <c r="V34" s="1556" t="s">
        <v>11</v>
      </c>
      <c r="W34" s="1557">
        <f t="shared" si="11"/>
        <v>100</v>
      </c>
      <c r="X34" s="1550"/>
      <c r="Y34" s="3442"/>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42"/>
      <c r="Q35" s="1555" t="str">
        <f t="shared" si="8"/>
        <v>建筑品质</v>
      </c>
      <c r="R35" s="1556" t="s">
        <v>11</v>
      </c>
      <c r="S35" s="1557">
        <f t="shared" si="9"/>
        <v>100</v>
      </c>
      <c r="T35" s="1556" t="s">
        <v>11</v>
      </c>
      <c r="U35" s="1557">
        <f t="shared" si="10"/>
        <v>100</v>
      </c>
      <c r="V35" s="1556" t="s">
        <v>11</v>
      </c>
      <c r="W35" s="1557">
        <f t="shared" si="11"/>
        <v>100</v>
      </c>
      <c r="X35" s="1550"/>
      <c r="Y35" s="3442"/>
      <c r="Z35" s="1558" t="str">
        <f t="shared" si="12"/>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42"/>
      <c r="Q36" s="1555" t="str">
        <f t="shared" si="8"/>
        <v>公共部分装修</v>
      </c>
      <c r="R36" s="1556" t="s">
        <v>11</v>
      </c>
      <c r="S36" s="1557">
        <f t="shared" si="9"/>
        <v>100</v>
      </c>
      <c r="T36" s="1556" t="s">
        <v>11</v>
      </c>
      <c r="U36" s="1557">
        <f t="shared" si="10"/>
        <v>100</v>
      </c>
      <c r="V36" s="1556" t="s">
        <v>11</v>
      </c>
      <c r="W36" s="1557">
        <f t="shared" si="11"/>
        <v>100</v>
      </c>
      <c r="X36" s="1550"/>
      <c r="Y36" s="3442"/>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42"/>
      <c r="Q37" s="1144" t="str">
        <f t="shared" si="8"/>
        <v>成新度</v>
      </c>
      <c r="R37" s="1551" t="s">
        <v>11</v>
      </c>
      <c r="S37" s="1552">
        <f t="shared" si="9"/>
        <v>100</v>
      </c>
      <c r="T37" s="1551" t="s">
        <v>11</v>
      </c>
      <c r="U37" s="1552">
        <f t="shared" si="10"/>
        <v>100</v>
      </c>
      <c r="V37" s="1551" t="s">
        <v>11</v>
      </c>
      <c r="W37" s="1552">
        <f t="shared" si="11"/>
        <v>100</v>
      </c>
      <c r="X37" s="1553"/>
      <c r="Y37" s="3442"/>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42" t="s">
        <v>550</v>
      </c>
      <c r="Q38" s="1555" t="str">
        <f t="shared" si="8"/>
        <v>物业管理</v>
      </c>
      <c r="R38" s="1556" t="s">
        <v>11</v>
      </c>
      <c r="S38" s="1557">
        <f t="shared" si="9"/>
        <v>100</v>
      </c>
      <c r="T38" s="1556" t="s">
        <v>11</v>
      </c>
      <c r="U38" s="1557">
        <f t="shared" si="10"/>
        <v>100</v>
      </c>
      <c r="V38" s="1556" t="s">
        <v>11</v>
      </c>
      <c r="W38" s="1557">
        <f t="shared" si="11"/>
        <v>100</v>
      </c>
      <c r="X38" s="1550"/>
      <c r="Y38" s="3442" t="s">
        <v>550</v>
      </c>
      <c r="Z38" s="1558" t="str">
        <f t="shared" si="12"/>
        <v>物业管理</v>
      </c>
      <c r="AA38" s="1559">
        <f t="shared" si="3"/>
        <v>1</v>
      </c>
      <c r="AB38" s="1559">
        <f t="shared" si="4"/>
        <v>1</v>
      </c>
      <c r="AC38" s="1559">
        <f t="shared" si="5"/>
        <v>1</v>
      </c>
    </row>
    <row r="39" spans="1:29" ht="15">
      <c r="A39" s="592"/>
      <c r="B39" s="1877"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42"/>
      <c r="Q39" s="1555" t="str">
        <f t="shared" si="8"/>
        <v>市政基础设施</v>
      </c>
      <c r="R39" s="1556" t="s">
        <v>11</v>
      </c>
      <c r="S39" s="1557">
        <f t="shared" si="9"/>
        <v>100</v>
      </c>
      <c r="T39" s="1556" t="s">
        <v>11</v>
      </c>
      <c r="U39" s="1557">
        <f t="shared" si="10"/>
        <v>100</v>
      </c>
      <c r="V39" s="1556" t="s">
        <v>11</v>
      </c>
      <c r="W39" s="1557">
        <f t="shared" si="11"/>
        <v>100</v>
      </c>
      <c r="X39" s="1550"/>
      <c r="Y39" s="3442"/>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42"/>
      <c r="Q40" s="1555" t="str">
        <f t="shared" si="8"/>
        <v>房型</v>
      </c>
      <c r="R40" s="1556" t="s">
        <v>11</v>
      </c>
      <c r="S40" s="1557">
        <f t="shared" si="9"/>
        <v>100</v>
      </c>
      <c r="T40" s="1556" t="s">
        <v>11</v>
      </c>
      <c r="U40" s="1557">
        <f t="shared" si="10"/>
        <v>100</v>
      </c>
      <c r="V40" s="1556" t="s">
        <v>11</v>
      </c>
      <c r="W40" s="1557">
        <f t="shared" si="11"/>
        <v>100</v>
      </c>
      <c r="X40" s="1550"/>
      <c r="Y40" s="3442"/>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42"/>
      <c r="Q41" s="1587" t="str">
        <f t="shared" si="8"/>
        <v>单套/主力户型建筑面积</v>
      </c>
      <c r="R41" s="1560" t="s">
        <v>11</v>
      </c>
      <c r="S41" s="1561">
        <f t="shared" si="9"/>
        <v>100</v>
      </c>
      <c r="T41" s="1560" t="s">
        <v>11</v>
      </c>
      <c r="U41" s="1561">
        <f t="shared" si="10"/>
        <v>100</v>
      </c>
      <c r="V41" s="1560" t="s">
        <v>11</v>
      </c>
      <c r="W41" s="1561">
        <f t="shared" si="11"/>
        <v>100</v>
      </c>
      <c r="X41" s="1562"/>
      <c r="Y41" s="3442"/>
      <c r="Z41" s="1563" t="str">
        <f t="shared" si="12"/>
        <v>单套/主力户型建筑面积</v>
      </c>
      <c r="AA41" s="1559">
        <f t="shared" si="3"/>
        <v>1</v>
      </c>
      <c r="AB41" s="1559">
        <f t="shared" si="4"/>
        <v>1</v>
      </c>
      <c r="AC41" s="1559">
        <f t="shared" si="5"/>
        <v>1</v>
      </c>
    </row>
    <row r="42" spans="1:29" ht="15">
      <c r="A42" s="592"/>
      <c r="B42" s="525" t="s">
        <v>734</v>
      </c>
      <c r="C42" s="3216" t="s">
        <v>3182</v>
      </c>
      <c r="D42" s="538">
        <v>100</v>
      </c>
      <c r="E42" s="3217" t="s">
        <v>3182</v>
      </c>
      <c r="F42" s="573">
        <f>SUMIF(122:122,E42,123:123)-SUMIF(122:122,C42,123:123)+100</f>
        <v>100</v>
      </c>
      <c r="G42" s="3216" t="s">
        <v>3182</v>
      </c>
      <c r="H42" s="538">
        <f>SUMIF(122:122,G42,123:123)-SUMIF(122:122,C42,123:123)+100</f>
        <v>100</v>
      </c>
      <c r="I42" s="3217" t="s">
        <v>3182</v>
      </c>
      <c r="J42" s="538">
        <f>SUMIF(122:122,I42,123:123)-SUMIF(122:122,C42,123:123)+100</f>
        <v>100</v>
      </c>
      <c r="K42" s="862"/>
      <c r="L42" s="2124"/>
      <c r="M42" s="2116"/>
      <c r="N42" s="2116"/>
      <c r="O42" s="2123"/>
      <c r="P42" s="3442"/>
      <c r="Q42" s="1555" t="str">
        <f t="shared" si="8"/>
        <v>内部装修</v>
      </c>
      <c r="R42" s="1556" t="s">
        <v>11</v>
      </c>
      <c r="S42" s="1557">
        <f t="shared" si="9"/>
        <v>100</v>
      </c>
      <c r="T42" s="1556" t="s">
        <v>11</v>
      </c>
      <c r="U42" s="1557">
        <f t="shared" si="10"/>
        <v>100</v>
      </c>
      <c r="V42" s="1556" t="s">
        <v>11</v>
      </c>
      <c r="W42" s="1557">
        <f t="shared" si="11"/>
        <v>100</v>
      </c>
      <c r="X42" s="1550"/>
      <c r="Y42" s="3442"/>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42"/>
      <c r="Q43" s="1555" t="str">
        <f t="shared" si="8"/>
        <v>内部装修维护情况</v>
      </c>
      <c r="R43" s="1556" t="s">
        <v>11</v>
      </c>
      <c r="S43" s="1557">
        <f t="shared" si="9"/>
        <v>100</v>
      </c>
      <c r="T43" s="1556" t="s">
        <v>11</v>
      </c>
      <c r="U43" s="1557">
        <f t="shared" si="10"/>
        <v>100</v>
      </c>
      <c r="V43" s="1556" t="s">
        <v>11</v>
      </c>
      <c r="W43" s="1557">
        <f t="shared" si="11"/>
        <v>100</v>
      </c>
      <c r="X43" s="1550"/>
      <c r="Y43" s="3442"/>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42"/>
      <c r="Q44" s="1144">
        <f t="shared" si="8"/>
        <v>111</v>
      </c>
      <c r="R44" s="1551" t="s">
        <v>11</v>
      </c>
      <c r="S44" s="1552">
        <f t="shared" si="9"/>
        <v>100</v>
      </c>
      <c r="T44" s="1551" t="s">
        <v>11</v>
      </c>
      <c r="U44" s="1552">
        <f t="shared" si="10"/>
        <v>100</v>
      </c>
      <c r="V44" s="1551" t="s">
        <v>11</v>
      </c>
      <c r="W44" s="1552">
        <f t="shared" si="11"/>
        <v>100</v>
      </c>
      <c r="X44" s="1553"/>
      <c r="Y44" s="3442"/>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42"/>
      <c r="Q45" s="1555">
        <f t="shared" si="8"/>
        <v>111</v>
      </c>
      <c r="R45" s="1556" t="s">
        <v>11</v>
      </c>
      <c r="S45" s="1557">
        <f t="shared" si="9"/>
        <v>100</v>
      </c>
      <c r="T45" s="1556" t="s">
        <v>11</v>
      </c>
      <c r="U45" s="1557">
        <f t="shared" si="10"/>
        <v>100</v>
      </c>
      <c r="V45" s="1556" t="s">
        <v>11</v>
      </c>
      <c r="W45" s="1557">
        <f t="shared" si="11"/>
        <v>100</v>
      </c>
      <c r="X45" s="1550"/>
      <c r="Y45" s="3442"/>
      <c r="Z45" s="1558">
        <f t="shared" si="12"/>
        <v>111</v>
      </c>
      <c r="AA45" s="1559">
        <f t="shared" si="3"/>
        <v>1</v>
      </c>
      <c r="AB45" s="1559">
        <f t="shared" si="4"/>
        <v>1</v>
      </c>
      <c r="AC45" s="1559">
        <f t="shared" si="5"/>
        <v>1</v>
      </c>
    </row>
    <row r="46" spans="1:29" ht="15.75" thickBot="1">
      <c r="A46" s="883"/>
      <c r="B46" s="542">
        <v>0.93</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23"/>
      <c r="Q46" s="1555">
        <f t="shared" si="8"/>
        <v>0.93</v>
      </c>
      <c r="R46" s="1556" t="s">
        <v>10</v>
      </c>
      <c r="S46" s="1557">
        <f t="shared" si="9"/>
        <v>100</v>
      </c>
      <c r="T46" s="1556" t="s">
        <v>10</v>
      </c>
      <c r="U46" s="1557">
        <f t="shared" si="10"/>
        <v>100</v>
      </c>
      <c r="V46" s="1556" t="s">
        <v>10</v>
      </c>
      <c r="W46" s="1557">
        <f t="shared" si="11"/>
        <v>100</v>
      </c>
      <c r="X46" s="1550"/>
      <c r="Y46" s="3523"/>
      <c r="Z46" s="1558">
        <f t="shared" si="12"/>
        <v>0.93</v>
      </c>
      <c r="AA46" s="1559">
        <f t="shared" si="3"/>
        <v>1</v>
      </c>
      <c r="AB46" s="1559">
        <f t="shared" si="4"/>
        <v>1</v>
      </c>
      <c r="AC46" s="1559">
        <f t="shared" si="5"/>
        <v>1</v>
      </c>
    </row>
    <row r="47" spans="1:29" ht="15">
      <c r="A47" s="605" t="s">
        <v>736</v>
      </c>
      <c r="B47" s="884"/>
      <c r="C47" s="2588" t="s">
        <v>9</v>
      </c>
      <c r="D47" s="2589"/>
      <c r="E47" s="2590">
        <f>Sheet4!P3*B46</f>
        <v>4464</v>
      </c>
      <c r="F47" s="2591"/>
      <c r="G47" s="2592">
        <f>Sheet4!P4*B46</f>
        <v>4650</v>
      </c>
      <c r="H47" s="2593"/>
      <c r="I47" s="2590">
        <f>Sheet4!P5*B46</f>
        <v>4743</v>
      </c>
      <c r="J47" s="2593"/>
      <c r="K47" s="1588"/>
      <c r="L47" s="2126"/>
      <c r="M47" s="2127"/>
      <c r="N47" s="2116"/>
      <c r="O47" s="2127"/>
      <c r="P47" s="3405" t="str">
        <f>A47</f>
        <v>成交单价（元/平方米）</v>
      </c>
      <c r="Q47" s="3405"/>
      <c r="R47" s="3522">
        <f>E47</f>
        <v>4464</v>
      </c>
      <c r="S47" s="3522"/>
      <c r="T47" s="3522">
        <f>G47</f>
        <v>4650</v>
      </c>
      <c r="U47" s="3522"/>
      <c r="V47" s="3522">
        <f>I47</f>
        <v>4743</v>
      </c>
      <c r="W47" s="3522"/>
      <c r="X47" s="1542"/>
      <c r="Y47" s="1564"/>
      <c r="Z47" s="1542"/>
      <c r="AA47" s="1542"/>
      <c r="AB47" s="1542"/>
      <c r="AC47" s="1542"/>
    </row>
    <row r="48" spans="1:29" ht="15.75" thickBot="1">
      <c r="A48" s="613" t="s">
        <v>2756</v>
      </c>
      <c r="B48" s="885"/>
      <c r="C48" s="2594">
        <f>R49</f>
        <v>4653</v>
      </c>
      <c r="D48" s="2595"/>
      <c r="E48" s="2596">
        <f>R48</f>
        <v>4555</v>
      </c>
      <c r="F48" s="2596"/>
      <c r="G48" s="2594">
        <f>T48</f>
        <v>4747</v>
      </c>
      <c r="H48" s="2595"/>
      <c r="I48" s="2596">
        <f>V48</f>
        <v>4658</v>
      </c>
      <c r="J48" s="2595"/>
      <c r="K48" s="1589"/>
      <c r="L48" s="2126"/>
      <c r="M48" s="2127"/>
      <c r="N48" s="2127"/>
      <c r="O48" s="2127"/>
      <c r="P48" s="3405" t="str">
        <f>A48</f>
        <v>比较价格（元/平方米）</v>
      </c>
      <c r="Q48" s="3405"/>
      <c r="R48" s="3522">
        <f>IF(F1="售价",ROUND(PRODUCT(R47,AA7:AA46),0),ROUND(PRODUCT(R47,AA7:AA46),1))</f>
        <v>4555</v>
      </c>
      <c r="S48" s="3522"/>
      <c r="T48" s="3522">
        <f>IF(F1="售价",ROUND(PRODUCT(T47,AB7:AB46),0),ROUND(PRODUCT(T47,AB7:AB46),1))</f>
        <v>4747</v>
      </c>
      <c r="U48" s="3522"/>
      <c r="V48" s="3522">
        <f>IF(F1="售价",ROUND(PRODUCT(V47,AC7:AC46),0),ROUND(PRODUCT(V47,AC7:AC46),1))</f>
        <v>4658</v>
      </c>
      <c r="W48" s="3522"/>
      <c r="X48" s="1542"/>
      <c r="Y48" s="1542"/>
      <c r="Z48" s="1542"/>
      <c r="AA48" s="1542"/>
      <c r="AB48" s="1542"/>
      <c r="AC48" s="1542"/>
    </row>
    <row r="49" spans="1:29" ht="15.75" thickBot="1">
      <c r="A49" s="619" t="s">
        <v>2933</v>
      </c>
      <c r="B49" s="620"/>
      <c r="C49" s="2597">
        <f>R49</f>
        <v>4653</v>
      </c>
      <c r="D49" s="2597"/>
      <c r="E49" s="2597"/>
      <c r="F49" s="2597"/>
      <c r="G49" s="2597"/>
      <c r="H49" s="2597"/>
      <c r="I49" s="2597"/>
      <c r="J49" s="2597"/>
      <c r="K49" s="1590"/>
      <c r="L49" s="2126"/>
      <c r="M49" s="2127"/>
      <c r="N49" s="2127"/>
      <c r="O49" s="2127"/>
      <c r="P49" s="3402" t="str">
        <f>A49</f>
        <v>估价对象XX用房的比较价格（楼面单价，元/平方米）</v>
      </c>
      <c r="Q49" s="3403"/>
      <c r="R49" s="3521">
        <f>IF(F1="售价",ROUND(AVERAGE(R48:V48),0),ROUND(AVERAGE(R48:V48),1))</f>
        <v>4653</v>
      </c>
      <c r="S49" s="3521"/>
      <c r="T49" s="3521"/>
      <c r="U49" s="3521"/>
      <c r="V49" s="3521"/>
      <c r="W49" s="352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2.0385304659498171E-2</v>
      </c>
      <c r="F52" s="625" t="str">
        <f>IF(OR(E52&gt;=0.3,E52&lt;=-0.3),"超过30%","")</f>
        <v/>
      </c>
      <c r="G52" s="624">
        <f>IF(G47&lt;G48,G48/G47-1,G47/G48-1)</f>
        <v>2.0860215053763342E-2</v>
      </c>
      <c r="H52" s="625" t="str">
        <f>IF(OR(G52&gt;=0.3,G52&lt;=-0.3),"超过30%","")</f>
        <v/>
      </c>
      <c r="I52" s="624">
        <f>IF(I47&lt;I48,I48/I47-1,I47/I48-1)</f>
        <v>1.8248175182481674E-2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4.2151481888035081E-2</v>
      </c>
      <c r="F53" s="625" t="str">
        <f>IF(OR(E53&gt;=0.2,E53&lt;=-0.2),"超过20%","")</f>
        <v/>
      </c>
      <c r="G53" s="624">
        <f>IF(G48&lt;I48,I48/G48-1,G48/I48-1)</f>
        <v>1.9106912838128043E-2</v>
      </c>
      <c r="H53" s="625" t="str">
        <f>IF(OR(G53&gt;=0.2,G53&lt;=-0.2),"超过20%","")</f>
        <v/>
      </c>
      <c r="I53" s="624">
        <f>IF(I48&lt;E48,E48/I48-1,I48/E48-1)</f>
        <v>2.2612513721185445E-2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2.0000000000000018E-2</v>
      </c>
      <c r="H54" s="625" t="str">
        <f>IF(OR(G54&gt;=0.3,G54&lt;=-0.3),"超过30%","")</f>
        <v/>
      </c>
      <c r="I54" s="624">
        <f>IF(I47&lt;E47,E47/I47-1,I47/E47-1)</f>
        <v>6.25E-2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0.93</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11" t="s">
        <v>522</v>
      </c>
      <c r="D4" s="3412"/>
      <c r="E4" s="3445" t="s">
        <v>523</v>
      </c>
      <c r="F4" s="3446"/>
      <c r="G4" s="3411" t="s">
        <v>524</v>
      </c>
      <c r="H4" s="3412"/>
      <c r="I4" s="3411" t="s">
        <v>525</v>
      </c>
      <c r="J4" s="3412"/>
      <c r="K4" s="512" t="s">
        <v>526</v>
      </c>
      <c r="L4" s="2115"/>
      <c r="M4" s="2116"/>
      <c r="N4" s="2116"/>
      <c r="O4" s="2116"/>
      <c r="P4" s="3413" t="s">
        <v>527</v>
      </c>
      <c r="Q4" s="3414"/>
      <c r="R4" s="3419" t="s">
        <v>523</v>
      </c>
      <c r="S4" s="3420"/>
      <c r="T4" s="3419" t="s">
        <v>524</v>
      </c>
      <c r="U4" s="3420"/>
      <c r="V4" s="3406" t="s">
        <v>525</v>
      </c>
      <c r="W4" s="3406"/>
      <c r="X4" s="1550"/>
      <c r="Y4" s="3419" t="s">
        <v>527</v>
      </c>
      <c r="Z4" s="3420"/>
      <c r="AA4" s="3408" t="s">
        <v>523</v>
      </c>
      <c r="AB4" s="3406" t="s">
        <v>524</v>
      </c>
      <c r="AC4" s="3408" t="s">
        <v>525</v>
      </c>
    </row>
    <row r="5" spans="1:29" ht="15">
      <c r="A5" s="513"/>
      <c r="B5" s="514"/>
      <c r="C5" s="3427" t="s">
        <v>2927</v>
      </c>
      <c r="D5" s="3428"/>
      <c r="E5" s="3447" t="s">
        <v>2928</v>
      </c>
      <c r="F5" s="3448"/>
      <c r="G5" s="3427" t="s">
        <v>2929</v>
      </c>
      <c r="H5" s="3428"/>
      <c r="I5" s="3427" t="s">
        <v>2930</v>
      </c>
      <c r="J5" s="3428"/>
      <c r="K5" s="512"/>
      <c r="L5" s="2115"/>
      <c r="M5" s="2116"/>
      <c r="N5" s="2116"/>
      <c r="O5" s="2116"/>
      <c r="P5" s="3415"/>
      <c r="Q5" s="3416"/>
      <c r="R5" s="3421"/>
      <c r="S5" s="3422"/>
      <c r="T5" s="3421"/>
      <c r="U5" s="3422"/>
      <c r="V5" s="3406"/>
      <c r="W5" s="3406"/>
      <c r="X5" s="1550"/>
      <c r="Y5" s="3421"/>
      <c r="Z5" s="3422"/>
      <c r="AA5" s="3409"/>
      <c r="AB5" s="3406"/>
      <c r="AC5" s="3409"/>
    </row>
    <row r="6" spans="1:29" ht="15.75" thickBot="1">
      <c r="A6" s="515"/>
      <c r="B6" s="516"/>
      <c r="C6" s="3425" t="s">
        <v>2931</v>
      </c>
      <c r="D6" s="3426"/>
      <c r="E6" s="3443" t="s">
        <v>2931</v>
      </c>
      <c r="F6" s="3444"/>
      <c r="G6" s="3425" t="s">
        <v>2931</v>
      </c>
      <c r="H6" s="3426"/>
      <c r="I6" s="3425" t="s">
        <v>2931</v>
      </c>
      <c r="J6" s="3426"/>
      <c r="K6" s="512" t="s">
        <v>528</v>
      </c>
      <c r="L6" s="2115"/>
      <c r="M6" s="2116"/>
      <c r="N6" s="2116"/>
      <c r="O6" s="2116"/>
      <c r="P6" s="3417"/>
      <c r="Q6" s="3418"/>
      <c r="R6" s="3421"/>
      <c r="S6" s="3422"/>
      <c r="T6" s="3423"/>
      <c r="U6" s="3424"/>
      <c r="V6" s="3406"/>
      <c r="W6" s="3406"/>
      <c r="X6" s="1550"/>
      <c r="Y6" s="3423"/>
      <c r="Z6" s="3424"/>
      <c r="AA6" s="3410"/>
      <c r="AB6" s="3406"/>
      <c r="AC6" s="3410"/>
    </row>
    <row r="7" spans="1:29" s="1213" customFormat="1" ht="15.75" thickBot="1">
      <c r="A7" s="2863"/>
      <c r="B7" s="2870" t="s">
        <v>529</v>
      </c>
      <c r="C7" s="517">
        <f>'数据-取费表'!B2</f>
        <v>43935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36" t="s">
        <v>530</v>
      </c>
      <c r="Q7" s="3438"/>
      <c r="R7" s="1551" t="s">
        <v>8</v>
      </c>
      <c r="S7" s="1552">
        <f t="shared" ref="S7:S15" si="0">F7</f>
        <v>0</v>
      </c>
      <c r="T7" s="1551" t="s">
        <v>8</v>
      </c>
      <c r="U7" s="1552">
        <f t="shared" ref="U7:U15" si="1">H7</f>
        <v>0</v>
      </c>
      <c r="V7" s="1551" t="s">
        <v>8</v>
      </c>
      <c r="W7" s="1552">
        <f t="shared" ref="W7:W15" si="2">J7</f>
        <v>0</v>
      </c>
      <c r="X7" s="1553"/>
      <c r="Y7" s="3436" t="s">
        <v>530</v>
      </c>
      <c r="Z7" s="3437"/>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36" t="s">
        <v>533</v>
      </c>
      <c r="Q8" s="3437"/>
      <c r="R8" s="1551" t="s">
        <v>8</v>
      </c>
      <c r="S8" s="1552">
        <f t="shared" si="0"/>
        <v>0</v>
      </c>
      <c r="T8" s="1551" t="s">
        <v>8</v>
      </c>
      <c r="U8" s="1552">
        <f t="shared" si="1"/>
        <v>0</v>
      </c>
      <c r="V8" s="1551" t="s">
        <v>8</v>
      </c>
      <c r="W8" s="1552">
        <f t="shared" si="2"/>
        <v>0</v>
      </c>
      <c r="X8" s="1553"/>
      <c r="Y8" s="3436" t="s">
        <v>533</v>
      </c>
      <c r="Z8" s="3437"/>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51"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05"/>
      <c r="Q11" s="1144" t="str">
        <f t="shared" si="6"/>
        <v>容积率</v>
      </c>
      <c r="R11" s="1551" t="s">
        <v>8</v>
      </c>
      <c r="S11" s="1552" t="e">
        <f t="shared" si="0"/>
        <v>#N/A</v>
      </c>
      <c r="T11" s="1551" t="s">
        <v>8</v>
      </c>
      <c r="U11" s="1552" t="e">
        <f t="shared" si="1"/>
        <v>#N/A</v>
      </c>
      <c r="V11" s="1551" t="s">
        <v>8</v>
      </c>
      <c r="W11" s="1552" t="e">
        <f t="shared" si="2"/>
        <v>#N/A</v>
      </c>
      <c r="X11" s="1553"/>
      <c r="Y11" s="3351"/>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51"/>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51"/>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05"/>
      <c r="Q14" s="1144">
        <f t="shared" si="6"/>
        <v>111</v>
      </c>
      <c r="R14" s="1551" t="s">
        <v>8</v>
      </c>
      <c r="S14" s="1552">
        <f t="shared" si="0"/>
        <v>100</v>
      </c>
      <c r="T14" s="1551" t="s">
        <v>8</v>
      </c>
      <c r="U14" s="1552">
        <f t="shared" si="1"/>
        <v>100</v>
      </c>
      <c r="V14" s="1551" t="s">
        <v>8</v>
      </c>
      <c r="W14" s="1552">
        <f t="shared" si="2"/>
        <v>100</v>
      </c>
      <c r="X14" s="1553"/>
      <c r="Y14" s="3351"/>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39" t="s">
        <v>540</v>
      </c>
      <c r="Q15" s="1555" t="str">
        <f t="shared" si="6"/>
        <v>商业繁华度</v>
      </c>
      <c r="R15" s="1556" t="s">
        <v>8</v>
      </c>
      <c r="S15" s="1557">
        <f t="shared" si="0"/>
        <v>100</v>
      </c>
      <c r="T15" s="1556" t="s">
        <v>8</v>
      </c>
      <c r="U15" s="1557">
        <f t="shared" si="1"/>
        <v>100</v>
      </c>
      <c r="V15" s="1556" t="s">
        <v>8</v>
      </c>
      <c r="W15" s="1557">
        <f t="shared" si="2"/>
        <v>100</v>
      </c>
      <c r="X15" s="1550"/>
      <c r="Y15" s="3439"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40"/>
      <c r="Q16" s="1555"/>
      <c r="R16" s="1556"/>
      <c r="S16" s="1557"/>
      <c r="T16" s="1556"/>
      <c r="U16" s="1557"/>
      <c r="V16" s="1556"/>
      <c r="W16" s="1557"/>
      <c r="X16" s="1550"/>
      <c r="Y16" s="344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40"/>
      <c r="Q17" s="1555" t="str">
        <f>B17</f>
        <v>交通便捷度</v>
      </c>
      <c r="R17" s="1556" t="s">
        <v>8</v>
      </c>
      <c r="S17" s="1557">
        <f>F17</f>
        <v>100</v>
      </c>
      <c r="T17" s="1556" t="s">
        <v>8</v>
      </c>
      <c r="U17" s="1557">
        <f>H17</f>
        <v>100</v>
      </c>
      <c r="V17" s="1556" t="s">
        <v>8</v>
      </c>
      <c r="W17" s="1557">
        <f>J17</f>
        <v>100</v>
      </c>
      <c r="X17" s="1550"/>
      <c r="Y17" s="344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40"/>
      <c r="Q18" s="1555"/>
      <c r="R18" s="1556"/>
      <c r="S18" s="1557"/>
      <c r="T18" s="1556"/>
      <c r="U18" s="1557"/>
      <c r="V18" s="1556"/>
      <c r="W18" s="1557"/>
      <c r="X18" s="1550"/>
      <c r="Y18" s="3440"/>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40"/>
      <c r="Q19" s="1555" t="str">
        <f>B19</f>
        <v>公共配套设施</v>
      </c>
      <c r="R19" s="1556" t="s">
        <v>8</v>
      </c>
      <c r="S19" s="1557">
        <f>F19</f>
        <v>100</v>
      </c>
      <c r="T19" s="1556" t="s">
        <v>8</v>
      </c>
      <c r="U19" s="1557">
        <f>H19</f>
        <v>100</v>
      </c>
      <c r="V19" s="1556" t="s">
        <v>8</v>
      </c>
      <c r="W19" s="1557">
        <f>J19</f>
        <v>100</v>
      </c>
      <c r="X19" s="1550"/>
      <c r="Y19" s="344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40"/>
      <c r="Q20" s="1555"/>
      <c r="R20" s="1556"/>
      <c r="S20" s="1557"/>
      <c r="T20" s="1556"/>
      <c r="U20" s="1557"/>
      <c r="V20" s="1556"/>
      <c r="W20" s="1557"/>
      <c r="X20" s="1550"/>
      <c r="Y20" s="3440"/>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40"/>
      <c r="Q21" s="2540" t="str">
        <f>B21</f>
        <v>基础设施水平</v>
      </c>
      <c r="R21" s="1556" t="s">
        <v>8</v>
      </c>
      <c r="S21" s="1557">
        <f>F21</f>
        <v>100</v>
      </c>
      <c r="T21" s="1556" t="s">
        <v>8</v>
      </c>
      <c r="U21" s="1557">
        <f>H21</f>
        <v>100</v>
      </c>
      <c r="V21" s="1556" t="s">
        <v>8</v>
      </c>
      <c r="W21" s="1557">
        <f>J21</f>
        <v>100</v>
      </c>
      <c r="X21" s="2542"/>
      <c r="Y21" s="3440"/>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440"/>
      <c r="Q22" s="2540"/>
      <c r="R22" s="1556"/>
      <c r="S22" s="1557"/>
      <c r="T22" s="1556"/>
      <c r="U22" s="1557"/>
      <c r="V22" s="1556"/>
      <c r="W22" s="1557"/>
      <c r="X22" s="2542"/>
      <c r="Y22" s="3440"/>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40"/>
      <c r="Q23" s="1555" t="str">
        <f>B23</f>
        <v>自然及人文环境</v>
      </c>
      <c r="R23" s="1556" t="s">
        <v>8</v>
      </c>
      <c r="S23" s="1557">
        <f>F23</f>
        <v>100</v>
      </c>
      <c r="T23" s="1556" t="s">
        <v>8</v>
      </c>
      <c r="U23" s="1557">
        <f>H23</f>
        <v>100</v>
      </c>
      <c r="V23" s="1556" t="s">
        <v>8</v>
      </c>
      <c r="W23" s="1557">
        <f>J23</f>
        <v>100</v>
      </c>
      <c r="X23" s="1550"/>
      <c r="Y23" s="344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40"/>
      <c r="Q24" s="1555"/>
      <c r="R24" s="1556"/>
      <c r="S24" s="1557"/>
      <c r="T24" s="1556"/>
      <c r="U24" s="1557"/>
      <c r="V24" s="1556"/>
      <c r="W24" s="1557"/>
      <c r="X24" s="1550"/>
      <c r="Y24" s="3440"/>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40"/>
      <c r="Q25" s="1555" t="str">
        <f t="shared" ref="Q25:Q46" si="8">B25</f>
        <v>临街状况</v>
      </c>
      <c r="R25" s="1556" t="s">
        <v>8</v>
      </c>
      <c r="S25" s="1557">
        <f>F25</f>
        <v>100</v>
      </c>
      <c r="T25" s="1556" t="s">
        <v>8</v>
      </c>
      <c r="U25" s="1557">
        <f>H25</f>
        <v>100</v>
      </c>
      <c r="V25" s="1556" t="s">
        <v>8</v>
      </c>
      <c r="W25" s="1557">
        <f>J25</f>
        <v>100</v>
      </c>
      <c r="X25" s="1550"/>
      <c r="Y25" s="3440"/>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40"/>
      <c r="Q26" s="1555" t="str">
        <f t="shared" si="8"/>
        <v>平面位置/可视性</v>
      </c>
      <c r="R26" s="1556" t="s">
        <v>8</v>
      </c>
      <c r="S26" s="1557">
        <f>F26</f>
        <v>100</v>
      </c>
      <c r="T26" s="1556" t="s">
        <v>8</v>
      </c>
      <c r="U26" s="1557">
        <f>H26</f>
        <v>100</v>
      </c>
      <c r="V26" s="1556" t="s">
        <v>8</v>
      </c>
      <c r="W26" s="1557">
        <f>J26</f>
        <v>100</v>
      </c>
      <c r="X26" s="1550"/>
      <c r="Y26" s="3440"/>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40"/>
      <c r="Q27" s="1144" t="str">
        <f t="shared" si="8"/>
        <v>人流量</v>
      </c>
      <c r="R27" s="1551" t="s">
        <v>8</v>
      </c>
      <c r="S27" s="1552">
        <f>F27</f>
        <v>100</v>
      </c>
      <c r="T27" s="1551" t="s">
        <v>8</v>
      </c>
      <c r="U27" s="1552">
        <f>H27</f>
        <v>100</v>
      </c>
      <c r="V27" s="1551" t="s">
        <v>8</v>
      </c>
      <c r="W27" s="1552">
        <f>J27</f>
        <v>100</v>
      </c>
      <c r="X27" s="1553"/>
      <c r="Y27" s="3440"/>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40"/>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440"/>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40"/>
      <c r="Q29" s="1555">
        <f t="shared" si="8"/>
        <v>111</v>
      </c>
      <c r="R29" s="1556" t="s">
        <v>8</v>
      </c>
      <c r="S29" s="1557">
        <f t="shared" si="9"/>
        <v>100</v>
      </c>
      <c r="T29" s="1556" t="s">
        <v>8</v>
      </c>
      <c r="U29" s="1557">
        <f t="shared" si="10"/>
        <v>100</v>
      </c>
      <c r="V29" s="1556" t="s">
        <v>8</v>
      </c>
      <c r="W29" s="1557">
        <f t="shared" si="11"/>
        <v>100</v>
      </c>
      <c r="X29" s="1550"/>
      <c r="Y29" s="3440"/>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40"/>
      <c r="Q30" s="1555">
        <f t="shared" si="8"/>
        <v>111</v>
      </c>
      <c r="R30" s="1556" t="s">
        <v>8</v>
      </c>
      <c r="S30" s="1557">
        <f t="shared" si="9"/>
        <v>100</v>
      </c>
      <c r="T30" s="1556" t="s">
        <v>8</v>
      </c>
      <c r="U30" s="1557">
        <f t="shared" si="10"/>
        <v>100</v>
      </c>
      <c r="V30" s="1556" t="s">
        <v>8</v>
      </c>
      <c r="W30" s="1557">
        <f t="shared" si="11"/>
        <v>100</v>
      </c>
      <c r="X30" s="1550"/>
      <c r="Y30" s="3440"/>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40"/>
      <c r="Q31" s="1555">
        <f t="shared" si="8"/>
        <v>111</v>
      </c>
      <c r="R31" s="1556" t="s">
        <v>8</v>
      </c>
      <c r="S31" s="1557">
        <f t="shared" si="9"/>
        <v>100</v>
      </c>
      <c r="T31" s="1556" t="s">
        <v>8</v>
      </c>
      <c r="U31" s="1557">
        <f t="shared" si="10"/>
        <v>100</v>
      </c>
      <c r="V31" s="1556" t="s">
        <v>8</v>
      </c>
      <c r="W31" s="1557">
        <f t="shared" si="11"/>
        <v>100</v>
      </c>
      <c r="X31" s="1550"/>
      <c r="Y31" s="3440"/>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41" t="s">
        <v>550</v>
      </c>
      <c r="Q32" s="1555" t="str">
        <f t="shared" si="8"/>
        <v>商业类型</v>
      </c>
      <c r="R32" s="1556" t="s">
        <v>8</v>
      </c>
      <c r="S32" s="1557">
        <f t="shared" si="9"/>
        <v>100</v>
      </c>
      <c r="T32" s="1556" t="s">
        <v>8</v>
      </c>
      <c r="U32" s="1557">
        <f t="shared" si="10"/>
        <v>100</v>
      </c>
      <c r="V32" s="1556" t="s">
        <v>8</v>
      </c>
      <c r="W32" s="1557">
        <f t="shared" si="11"/>
        <v>100</v>
      </c>
      <c r="X32" s="1550"/>
      <c r="Y32" s="3442"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42"/>
      <c r="Q33" s="1587" t="str">
        <f t="shared" si="8"/>
        <v>项目建筑规模</v>
      </c>
      <c r="R33" s="1560" t="s">
        <v>8</v>
      </c>
      <c r="S33" s="1561" t="e">
        <f t="shared" si="9"/>
        <v>#N/A</v>
      </c>
      <c r="T33" s="1560" t="s">
        <v>8</v>
      </c>
      <c r="U33" s="1561" t="e">
        <f t="shared" si="10"/>
        <v>#N/A</v>
      </c>
      <c r="V33" s="1560" t="s">
        <v>8</v>
      </c>
      <c r="W33" s="1561" t="e">
        <f t="shared" si="11"/>
        <v>#N/A</v>
      </c>
      <c r="X33" s="1562"/>
      <c r="Y33" s="3442"/>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42"/>
      <c r="Q34" s="1555" t="str">
        <f t="shared" si="8"/>
        <v>建筑结构</v>
      </c>
      <c r="R34" s="1556" t="s">
        <v>8</v>
      </c>
      <c r="S34" s="1557">
        <f t="shared" si="9"/>
        <v>100</v>
      </c>
      <c r="T34" s="1556" t="s">
        <v>8</v>
      </c>
      <c r="U34" s="1557">
        <f t="shared" si="10"/>
        <v>100</v>
      </c>
      <c r="V34" s="1556" t="s">
        <v>8</v>
      </c>
      <c r="W34" s="1557">
        <f t="shared" si="11"/>
        <v>100</v>
      </c>
      <c r="X34" s="1550"/>
      <c r="Y34" s="3442"/>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42"/>
      <c r="Q35" s="1555" t="str">
        <f t="shared" si="8"/>
        <v>公共部分装修</v>
      </c>
      <c r="R35" s="1556" t="s">
        <v>8</v>
      </c>
      <c r="S35" s="1557">
        <f t="shared" si="9"/>
        <v>100</v>
      </c>
      <c r="T35" s="1556" t="s">
        <v>8</v>
      </c>
      <c r="U35" s="1557">
        <f t="shared" si="10"/>
        <v>100</v>
      </c>
      <c r="V35" s="1556" t="s">
        <v>8</v>
      </c>
      <c r="W35" s="1557">
        <f t="shared" si="11"/>
        <v>100</v>
      </c>
      <c r="X35" s="1550"/>
      <c r="Y35" s="3442"/>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42"/>
      <c r="Q36" s="1555" t="str">
        <f t="shared" si="8"/>
        <v>成新度</v>
      </c>
      <c r="R36" s="1556" t="s">
        <v>8</v>
      </c>
      <c r="S36" s="1557" t="e">
        <f t="shared" si="9"/>
        <v>#N/A</v>
      </c>
      <c r="T36" s="1556" t="s">
        <v>8</v>
      </c>
      <c r="U36" s="1557" t="e">
        <f t="shared" si="10"/>
        <v>#N/A</v>
      </c>
      <c r="V36" s="1556" t="s">
        <v>8</v>
      </c>
      <c r="W36" s="1557" t="e">
        <f t="shared" si="11"/>
        <v>#N/A</v>
      </c>
      <c r="X36" s="1550"/>
      <c r="Y36" s="3442"/>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42"/>
      <c r="Q37" s="1144" t="str">
        <f t="shared" si="8"/>
        <v>市政基础设施</v>
      </c>
      <c r="R37" s="1551" t="s">
        <v>8</v>
      </c>
      <c r="S37" s="1552">
        <f t="shared" si="9"/>
        <v>100</v>
      </c>
      <c r="T37" s="1551" t="s">
        <v>8</v>
      </c>
      <c r="U37" s="1552">
        <f t="shared" si="10"/>
        <v>100</v>
      </c>
      <c r="V37" s="1551" t="s">
        <v>8</v>
      </c>
      <c r="W37" s="1552">
        <f t="shared" si="11"/>
        <v>100</v>
      </c>
      <c r="X37" s="1553"/>
      <c r="Y37" s="3442"/>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42" t="s">
        <v>766</v>
      </c>
      <c r="Q38" s="1555" t="str">
        <f t="shared" si="8"/>
        <v>业态</v>
      </c>
      <c r="R38" s="1556" t="s">
        <v>8</v>
      </c>
      <c r="S38" s="1557">
        <f t="shared" si="9"/>
        <v>100</v>
      </c>
      <c r="T38" s="1556" t="s">
        <v>8</v>
      </c>
      <c r="U38" s="1557">
        <f t="shared" si="10"/>
        <v>100</v>
      </c>
      <c r="V38" s="1556" t="s">
        <v>8</v>
      </c>
      <c r="W38" s="1557">
        <f t="shared" si="11"/>
        <v>100</v>
      </c>
      <c r="X38" s="1550"/>
      <c r="Y38" s="3442"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2"/>
      <c r="Q39" s="1555" t="str">
        <f t="shared" si="8"/>
        <v>层高</v>
      </c>
      <c r="R39" s="1556" t="s">
        <v>8</v>
      </c>
      <c r="S39" s="1557">
        <f t="shared" si="9"/>
        <v>100</v>
      </c>
      <c r="T39" s="1556" t="s">
        <v>8</v>
      </c>
      <c r="U39" s="1557">
        <f t="shared" si="10"/>
        <v>100</v>
      </c>
      <c r="V39" s="1556" t="s">
        <v>8</v>
      </c>
      <c r="W39" s="1557">
        <f t="shared" si="11"/>
        <v>100</v>
      </c>
      <c r="X39" s="1550"/>
      <c r="Y39" s="3442"/>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42"/>
      <c r="Q40" s="1555" t="str">
        <f t="shared" si="8"/>
        <v>单套建筑面积</v>
      </c>
      <c r="R40" s="1556" t="s">
        <v>8</v>
      </c>
      <c r="S40" s="1557">
        <f t="shared" si="9"/>
        <v>100</v>
      </c>
      <c r="T40" s="1556" t="s">
        <v>8</v>
      </c>
      <c r="U40" s="1557">
        <f t="shared" si="10"/>
        <v>100</v>
      </c>
      <c r="V40" s="1556" t="s">
        <v>8</v>
      </c>
      <c r="W40" s="1557">
        <f t="shared" si="11"/>
        <v>100</v>
      </c>
      <c r="X40" s="1550"/>
      <c r="Y40" s="3442"/>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42"/>
      <c r="Q41" s="1587" t="str">
        <f t="shared" si="8"/>
        <v>进深比</v>
      </c>
      <c r="R41" s="1560" t="s">
        <v>8</v>
      </c>
      <c r="S41" s="1561">
        <f t="shared" si="9"/>
        <v>100</v>
      </c>
      <c r="T41" s="1560" t="s">
        <v>8</v>
      </c>
      <c r="U41" s="1561">
        <f t="shared" si="10"/>
        <v>100</v>
      </c>
      <c r="V41" s="1560" t="s">
        <v>8</v>
      </c>
      <c r="W41" s="1561">
        <f t="shared" si="11"/>
        <v>100</v>
      </c>
      <c r="X41" s="1562"/>
      <c r="Y41" s="3442"/>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42"/>
      <c r="Q42" s="1555" t="str">
        <f t="shared" si="8"/>
        <v>内部装修</v>
      </c>
      <c r="R42" s="1556" t="s">
        <v>8</v>
      </c>
      <c r="S42" s="1557">
        <f t="shared" si="9"/>
        <v>100</v>
      </c>
      <c r="T42" s="1556" t="s">
        <v>8</v>
      </c>
      <c r="U42" s="1557">
        <f t="shared" si="10"/>
        <v>100</v>
      </c>
      <c r="V42" s="1556" t="s">
        <v>8</v>
      </c>
      <c r="W42" s="1557">
        <f t="shared" si="11"/>
        <v>100</v>
      </c>
      <c r="X42" s="1550"/>
      <c r="Y42" s="3442"/>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42"/>
      <c r="Q43" s="1555" t="str">
        <f t="shared" si="8"/>
        <v>内部装修维护情况</v>
      </c>
      <c r="R43" s="1556" t="s">
        <v>8</v>
      </c>
      <c r="S43" s="1557">
        <f t="shared" si="9"/>
        <v>100</v>
      </c>
      <c r="T43" s="1556" t="s">
        <v>8</v>
      </c>
      <c r="U43" s="1557">
        <f t="shared" si="10"/>
        <v>100</v>
      </c>
      <c r="V43" s="1556" t="s">
        <v>8</v>
      </c>
      <c r="W43" s="1557">
        <f t="shared" si="11"/>
        <v>100</v>
      </c>
      <c r="X43" s="1550"/>
      <c r="Y43" s="3442"/>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42"/>
      <c r="Q44" s="1144">
        <f t="shared" si="8"/>
        <v>111</v>
      </c>
      <c r="R44" s="1551" t="s">
        <v>8</v>
      </c>
      <c r="S44" s="1552">
        <f t="shared" si="9"/>
        <v>100</v>
      </c>
      <c r="T44" s="1551" t="s">
        <v>8</v>
      </c>
      <c r="U44" s="1552">
        <f t="shared" si="10"/>
        <v>100</v>
      </c>
      <c r="V44" s="1551" t="s">
        <v>8</v>
      </c>
      <c r="W44" s="1552">
        <f t="shared" si="11"/>
        <v>100</v>
      </c>
      <c r="X44" s="1553"/>
      <c r="Y44" s="3442"/>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42"/>
      <c r="Q45" s="1555">
        <f t="shared" si="8"/>
        <v>111</v>
      </c>
      <c r="R45" s="1556" t="s">
        <v>8</v>
      </c>
      <c r="S45" s="1557">
        <f t="shared" si="9"/>
        <v>100</v>
      </c>
      <c r="T45" s="1556" t="s">
        <v>8</v>
      </c>
      <c r="U45" s="1557">
        <f t="shared" si="10"/>
        <v>100</v>
      </c>
      <c r="V45" s="1556" t="s">
        <v>8</v>
      </c>
      <c r="W45" s="1557">
        <f t="shared" si="11"/>
        <v>100</v>
      </c>
      <c r="X45" s="1550"/>
      <c r="Y45" s="3442"/>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23"/>
      <c r="Q46" s="1555">
        <f t="shared" si="8"/>
        <v>111</v>
      </c>
      <c r="R46" s="1556" t="s">
        <v>8</v>
      </c>
      <c r="S46" s="1557">
        <f t="shared" si="9"/>
        <v>100</v>
      </c>
      <c r="T46" s="1556" t="s">
        <v>8</v>
      </c>
      <c r="U46" s="1557">
        <f t="shared" si="10"/>
        <v>100</v>
      </c>
      <c r="V46" s="1556" t="s">
        <v>8</v>
      </c>
      <c r="W46" s="1557">
        <f t="shared" si="11"/>
        <v>100</v>
      </c>
      <c r="X46" s="1550"/>
      <c r="Y46" s="3523"/>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405" t="str">
        <f>A47</f>
        <v>成交单价（元/平方米）</v>
      </c>
      <c r="Q47" s="3405"/>
      <c r="R47" s="3522">
        <f>E47</f>
        <v>0</v>
      </c>
      <c r="S47" s="3522"/>
      <c r="T47" s="3522">
        <f>G47</f>
        <v>0</v>
      </c>
      <c r="U47" s="3522"/>
      <c r="V47" s="3522">
        <f>I47</f>
        <v>0</v>
      </c>
      <c r="W47" s="3522"/>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405" t="str">
        <f>A48</f>
        <v>比较价格（元/平方米）</v>
      </c>
      <c r="Q48" s="3405"/>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02" t="str">
        <f>A49</f>
        <v>估价对象XX用房的比较价格（楼面单价，元/平方米）</v>
      </c>
      <c r="Q49" s="3403"/>
      <c r="R49" s="3521" t="e">
        <f>IF(F1="售价",ROUND(AVERAGE(R48:V48),0),ROUND(AVERAGE(R48:V48),1))</f>
        <v>#DIV/0!</v>
      </c>
      <c r="S49" s="3521"/>
      <c r="T49" s="3521"/>
      <c r="U49" s="3521"/>
      <c r="V49" s="3521"/>
      <c r="W49" s="352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2020-4</v>
      </c>
      <c r="D58" s="2756">
        <f>EDATE(C58,-1)</f>
        <v>43891</v>
      </c>
      <c r="E58" s="2756">
        <f t="shared" ref="E58:O58" si="13">EDATE(D58,-1)</f>
        <v>43862</v>
      </c>
      <c r="F58" s="2756">
        <f t="shared" si="13"/>
        <v>43831</v>
      </c>
      <c r="G58" s="2756">
        <f t="shared" si="13"/>
        <v>43800</v>
      </c>
      <c r="H58" s="2756">
        <f t="shared" si="13"/>
        <v>43770</v>
      </c>
      <c r="I58" s="2756">
        <f t="shared" si="13"/>
        <v>43739</v>
      </c>
      <c r="J58" s="2756">
        <f t="shared" si="13"/>
        <v>43709</v>
      </c>
      <c r="K58" s="2756">
        <f t="shared" si="13"/>
        <v>43678</v>
      </c>
      <c r="L58" s="2756">
        <f t="shared" si="13"/>
        <v>43647</v>
      </c>
      <c r="M58" s="2756">
        <f t="shared" si="13"/>
        <v>43617</v>
      </c>
      <c r="N58" s="2756">
        <f t="shared" si="13"/>
        <v>43586</v>
      </c>
      <c r="O58" s="2756">
        <f t="shared" si="13"/>
        <v>43556</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11" t="s">
        <v>522</v>
      </c>
      <c r="D4" s="3412"/>
      <c r="E4" s="3445" t="s">
        <v>523</v>
      </c>
      <c r="F4" s="3446"/>
      <c r="G4" s="3411" t="s">
        <v>524</v>
      </c>
      <c r="H4" s="3412"/>
      <c r="I4" s="3411" t="s">
        <v>525</v>
      </c>
      <c r="J4" s="3412"/>
      <c r="K4" s="512" t="s">
        <v>526</v>
      </c>
      <c r="L4" s="2115"/>
      <c r="M4" s="2116"/>
      <c r="N4" s="2116"/>
      <c r="O4" s="2116"/>
      <c r="P4" s="3525" t="s">
        <v>527</v>
      </c>
      <c r="Q4" s="3414"/>
      <c r="R4" s="3419" t="s">
        <v>523</v>
      </c>
      <c r="S4" s="3420"/>
      <c r="T4" s="3419" t="s">
        <v>524</v>
      </c>
      <c r="U4" s="3420"/>
      <c r="V4" s="3406" t="s">
        <v>525</v>
      </c>
      <c r="W4" s="3406"/>
      <c r="X4" s="1550"/>
      <c r="Y4" s="3419" t="s">
        <v>527</v>
      </c>
      <c r="Z4" s="3420"/>
      <c r="AA4" s="3408" t="s">
        <v>523</v>
      </c>
      <c r="AB4" s="3408" t="s">
        <v>524</v>
      </c>
      <c r="AC4" s="3408" t="s">
        <v>525</v>
      </c>
    </row>
    <row r="5" spans="1:29" ht="15">
      <c r="A5" s="513"/>
      <c r="B5" s="514"/>
      <c r="C5" s="3427" t="s">
        <v>2927</v>
      </c>
      <c r="D5" s="3428"/>
      <c r="E5" s="3447" t="s">
        <v>2928</v>
      </c>
      <c r="F5" s="3448"/>
      <c r="G5" s="3427" t="s">
        <v>2929</v>
      </c>
      <c r="H5" s="3428"/>
      <c r="I5" s="3427" t="s">
        <v>2930</v>
      </c>
      <c r="J5" s="3428"/>
      <c r="K5" s="512"/>
      <c r="L5" s="2115"/>
      <c r="M5" s="2116"/>
      <c r="N5" s="2116"/>
      <c r="O5" s="2116"/>
      <c r="P5" s="3526"/>
      <c r="Q5" s="3416"/>
      <c r="R5" s="3421"/>
      <c r="S5" s="3422"/>
      <c r="T5" s="3421"/>
      <c r="U5" s="3422"/>
      <c r="V5" s="3406"/>
      <c r="W5" s="3406"/>
      <c r="X5" s="1550"/>
      <c r="Y5" s="3421"/>
      <c r="Z5" s="3422"/>
      <c r="AA5" s="3409"/>
      <c r="AB5" s="3409"/>
      <c r="AC5" s="3409"/>
    </row>
    <row r="6" spans="1:29" ht="15.75" thickBot="1">
      <c r="A6" s="515"/>
      <c r="B6" s="516"/>
      <c r="C6" s="3425" t="s">
        <v>2931</v>
      </c>
      <c r="D6" s="3426"/>
      <c r="E6" s="3443" t="s">
        <v>2931</v>
      </c>
      <c r="F6" s="3444"/>
      <c r="G6" s="3425" t="s">
        <v>2931</v>
      </c>
      <c r="H6" s="3426"/>
      <c r="I6" s="3425" t="s">
        <v>2931</v>
      </c>
      <c r="J6" s="3426"/>
      <c r="K6" s="512" t="s">
        <v>528</v>
      </c>
      <c r="L6" s="2115"/>
      <c r="M6" s="2116"/>
      <c r="N6" s="2116"/>
      <c r="O6" s="2116"/>
      <c r="P6" s="3527"/>
      <c r="Q6" s="3418"/>
      <c r="R6" s="3421"/>
      <c r="S6" s="3422"/>
      <c r="T6" s="3423"/>
      <c r="U6" s="3424"/>
      <c r="V6" s="3406"/>
      <c r="W6" s="3406"/>
      <c r="X6" s="1550"/>
      <c r="Y6" s="3423"/>
      <c r="Z6" s="3424"/>
      <c r="AA6" s="3410"/>
      <c r="AB6" s="3410"/>
      <c r="AC6" s="3410"/>
    </row>
    <row r="7" spans="1:29" s="1213" customFormat="1" ht="15.75" thickBot="1">
      <c r="A7" s="2863"/>
      <c r="B7" s="2870" t="s">
        <v>529</v>
      </c>
      <c r="C7" s="517">
        <f>'数据-取费表'!B2</f>
        <v>43935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38" t="s">
        <v>530</v>
      </c>
      <c r="Q7" s="3438"/>
      <c r="R7" s="1551" t="s">
        <v>8</v>
      </c>
      <c r="S7" s="1552">
        <f t="shared" ref="S7:S15" si="0">F7</f>
        <v>0</v>
      </c>
      <c r="T7" s="1551" t="s">
        <v>8</v>
      </c>
      <c r="U7" s="1552">
        <f t="shared" ref="U7:U15" si="1">H7</f>
        <v>0</v>
      </c>
      <c r="V7" s="1551" t="s">
        <v>8</v>
      </c>
      <c r="W7" s="1552">
        <f t="shared" ref="W7:W15" si="2">J7</f>
        <v>0</v>
      </c>
      <c r="X7" s="1553"/>
      <c r="Y7" s="3436" t="s">
        <v>530</v>
      </c>
      <c r="Z7" s="3437"/>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38" t="s">
        <v>533</v>
      </c>
      <c r="Q8" s="3437"/>
      <c r="R8" s="1551" t="s">
        <v>8</v>
      </c>
      <c r="S8" s="1552">
        <f t="shared" si="0"/>
        <v>0</v>
      </c>
      <c r="T8" s="1551" t="s">
        <v>8</v>
      </c>
      <c r="U8" s="1552">
        <f t="shared" si="1"/>
        <v>0</v>
      </c>
      <c r="V8" s="1551" t="s">
        <v>8</v>
      </c>
      <c r="W8" s="1552">
        <f t="shared" si="2"/>
        <v>0</v>
      </c>
      <c r="X8" s="1553"/>
      <c r="Y8" s="3436" t="s">
        <v>533</v>
      </c>
      <c r="Z8" s="3437"/>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05" t="s">
        <v>535</v>
      </c>
      <c r="Q9" s="1144" t="str">
        <f t="shared" ref="Q9:Q15" si="6">B9</f>
        <v>用途</v>
      </c>
      <c r="R9" s="1551" t="s">
        <v>8</v>
      </c>
      <c r="S9" s="1552">
        <f t="shared" si="0"/>
        <v>100</v>
      </c>
      <c r="T9" s="1551" t="s">
        <v>8</v>
      </c>
      <c r="U9" s="1552">
        <f t="shared" si="1"/>
        <v>100</v>
      </c>
      <c r="V9" s="1551" t="s">
        <v>8</v>
      </c>
      <c r="W9" s="1552">
        <f t="shared" si="2"/>
        <v>100</v>
      </c>
      <c r="X9" s="1553"/>
      <c r="Y9" s="3351"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05"/>
      <c r="Q11" s="1144" t="str">
        <f t="shared" si="6"/>
        <v>容积率</v>
      </c>
      <c r="R11" s="1551" t="s">
        <v>8</v>
      </c>
      <c r="S11" s="1552" t="e">
        <f t="shared" si="0"/>
        <v>#N/A</v>
      </c>
      <c r="T11" s="1551" t="s">
        <v>8</v>
      </c>
      <c r="U11" s="1552" t="e">
        <f t="shared" si="1"/>
        <v>#N/A</v>
      </c>
      <c r="V11" s="1551" t="s">
        <v>8</v>
      </c>
      <c r="W11" s="1552" t="e">
        <f t="shared" si="2"/>
        <v>#N/A</v>
      </c>
      <c r="X11" s="1553"/>
      <c r="Y11" s="3351"/>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05"/>
      <c r="Q12" s="1144">
        <f t="shared" si="6"/>
        <v>111</v>
      </c>
      <c r="R12" s="1551" t="s">
        <v>8</v>
      </c>
      <c r="S12" s="1552">
        <f t="shared" si="0"/>
        <v>100</v>
      </c>
      <c r="T12" s="1551" t="s">
        <v>8</v>
      </c>
      <c r="U12" s="1552">
        <f t="shared" si="1"/>
        <v>100</v>
      </c>
      <c r="V12" s="1551" t="s">
        <v>8</v>
      </c>
      <c r="W12" s="1552">
        <f t="shared" si="2"/>
        <v>100</v>
      </c>
      <c r="X12" s="1553"/>
      <c r="Y12" s="3351"/>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05"/>
      <c r="Q13" s="1144">
        <f t="shared" si="6"/>
        <v>111</v>
      </c>
      <c r="R13" s="1551" t="s">
        <v>8</v>
      </c>
      <c r="S13" s="1552">
        <f t="shared" si="0"/>
        <v>100</v>
      </c>
      <c r="T13" s="1551" t="s">
        <v>8</v>
      </c>
      <c r="U13" s="1552">
        <f t="shared" si="1"/>
        <v>100</v>
      </c>
      <c r="V13" s="1551" t="s">
        <v>8</v>
      </c>
      <c r="W13" s="1552">
        <f t="shared" si="2"/>
        <v>100</v>
      </c>
      <c r="X13" s="1553"/>
      <c r="Y13" s="3351"/>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05"/>
      <c r="Q14" s="1144">
        <f t="shared" si="6"/>
        <v>111</v>
      </c>
      <c r="R14" s="1551" t="s">
        <v>8</v>
      </c>
      <c r="S14" s="1552">
        <f t="shared" si="0"/>
        <v>100</v>
      </c>
      <c r="T14" s="1551" t="s">
        <v>8</v>
      </c>
      <c r="U14" s="1552">
        <f t="shared" si="1"/>
        <v>100</v>
      </c>
      <c r="V14" s="1551" t="s">
        <v>8</v>
      </c>
      <c r="W14" s="1552">
        <f t="shared" si="2"/>
        <v>100</v>
      </c>
      <c r="X14" s="1553"/>
      <c r="Y14" s="3351"/>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39" t="s">
        <v>540</v>
      </c>
      <c r="Q15" s="1555" t="str">
        <f t="shared" si="6"/>
        <v>办公集聚程度</v>
      </c>
      <c r="R15" s="1556" t="s">
        <v>8</v>
      </c>
      <c r="S15" s="1557">
        <f t="shared" si="0"/>
        <v>100</v>
      </c>
      <c r="T15" s="1556" t="s">
        <v>8</v>
      </c>
      <c r="U15" s="1557">
        <f t="shared" si="1"/>
        <v>100</v>
      </c>
      <c r="V15" s="1556" t="s">
        <v>8</v>
      </c>
      <c r="W15" s="1557">
        <f t="shared" si="2"/>
        <v>100</v>
      </c>
      <c r="X15" s="1550"/>
      <c r="Y15" s="3439"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40"/>
      <c r="Q16" s="1555"/>
      <c r="R16" s="1556"/>
      <c r="S16" s="1557"/>
      <c r="T16" s="1556"/>
      <c r="U16" s="1557"/>
      <c r="V16" s="1556"/>
      <c r="W16" s="1557"/>
      <c r="X16" s="1550"/>
      <c r="Y16" s="344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40"/>
      <c r="Q17" s="1555" t="str">
        <f>B17</f>
        <v>交通便捷度</v>
      </c>
      <c r="R17" s="1556" t="s">
        <v>8</v>
      </c>
      <c r="S17" s="1557">
        <f>F17</f>
        <v>100</v>
      </c>
      <c r="T17" s="1556" t="s">
        <v>8</v>
      </c>
      <c r="U17" s="1557">
        <f>H17</f>
        <v>100</v>
      </c>
      <c r="V17" s="1556" t="s">
        <v>8</v>
      </c>
      <c r="W17" s="1557">
        <f>J17</f>
        <v>100</v>
      </c>
      <c r="X17" s="1550"/>
      <c r="Y17" s="344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40"/>
      <c r="Q18" s="1555"/>
      <c r="R18" s="1556"/>
      <c r="S18" s="1557"/>
      <c r="T18" s="1556"/>
      <c r="U18" s="1557"/>
      <c r="V18" s="1556"/>
      <c r="W18" s="1557"/>
      <c r="X18" s="1550"/>
      <c r="Y18" s="3440"/>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40"/>
      <c r="Q19" s="1555" t="str">
        <f>B19</f>
        <v>公共配套设施</v>
      </c>
      <c r="R19" s="1556" t="s">
        <v>8</v>
      </c>
      <c r="S19" s="1557">
        <f>F19</f>
        <v>100</v>
      </c>
      <c r="T19" s="1556" t="s">
        <v>8</v>
      </c>
      <c r="U19" s="1557">
        <f>H19</f>
        <v>100</v>
      </c>
      <c r="V19" s="1556" t="s">
        <v>8</v>
      </c>
      <c r="W19" s="1557">
        <f>J19</f>
        <v>100</v>
      </c>
      <c r="X19" s="1550"/>
      <c r="Y19" s="344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40"/>
      <c r="Q20" s="1555"/>
      <c r="R20" s="1556"/>
      <c r="S20" s="1557"/>
      <c r="T20" s="1556"/>
      <c r="U20" s="1557"/>
      <c r="V20" s="1556"/>
      <c r="W20" s="1557"/>
      <c r="X20" s="1550"/>
      <c r="Y20" s="3440"/>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40"/>
      <c r="Q21" s="2540" t="str">
        <f>B21</f>
        <v>基础设施水平</v>
      </c>
      <c r="R21" s="1556" t="s">
        <v>8</v>
      </c>
      <c r="S21" s="1557">
        <f>F21</f>
        <v>100</v>
      </c>
      <c r="T21" s="1556" t="s">
        <v>8</v>
      </c>
      <c r="U21" s="1557">
        <f>H21</f>
        <v>100</v>
      </c>
      <c r="V21" s="1556" t="s">
        <v>8</v>
      </c>
      <c r="W21" s="1557">
        <f>J21</f>
        <v>100</v>
      </c>
      <c r="X21" s="2542"/>
      <c r="Y21" s="3440"/>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440"/>
      <c r="Q22" s="2540"/>
      <c r="R22" s="1556"/>
      <c r="S22" s="1557"/>
      <c r="T22" s="1556"/>
      <c r="U22" s="1557"/>
      <c r="V22" s="1556"/>
      <c r="W22" s="1557"/>
      <c r="X22" s="2542"/>
      <c r="Y22" s="3440"/>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40"/>
      <c r="Q23" s="1555" t="str">
        <f>B23</f>
        <v>环境质量</v>
      </c>
      <c r="R23" s="1556" t="s">
        <v>8</v>
      </c>
      <c r="S23" s="1557">
        <f>F23</f>
        <v>100</v>
      </c>
      <c r="T23" s="1556" t="s">
        <v>8</v>
      </c>
      <c r="U23" s="1557">
        <f>H23</f>
        <v>100</v>
      </c>
      <c r="V23" s="1556" t="s">
        <v>8</v>
      </c>
      <c r="W23" s="1557">
        <f>J23</f>
        <v>100</v>
      </c>
      <c r="X23" s="1550"/>
      <c r="Y23" s="344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40"/>
      <c r="Q24" s="1555"/>
      <c r="R24" s="1556"/>
      <c r="S24" s="1557"/>
      <c r="T24" s="1556"/>
      <c r="U24" s="1557"/>
      <c r="V24" s="1556"/>
      <c r="W24" s="1557"/>
      <c r="X24" s="1550"/>
      <c r="Y24" s="3440"/>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40"/>
      <c r="Q25" s="1555" t="str">
        <f>B25</f>
        <v>毗邻道路的类型与等级</v>
      </c>
      <c r="R25" s="1556" t="s">
        <v>8</v>
      </c>
      <c r="S25" s="1557">
        <f>F25</f>
        <v>100</v>
      </c>
      <c r="T25" s="1556" t="s">
        <v>8</v>
      </c>
      <c r="U25" s="1557">
        <f>H25</f>
        <v>100</v>
      </c>
      <c r="V25" s="1556" t="s">
        <v>8</v>
      </c>
      <c r="W25" s="1557">
        <f>J25</f>
        <v>100</v>
      </c>
      <c r="X25" s="1550"/>
      <c r="Y25" s="344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40"/>
      <c r="Q26" s="1555"/>
      <c r="R26" s="1556"/>
      <c r="S26" s="1557"/>
      <c r="T26" s="1556"/>
      <c r="U26" s="1557"/>
      <c r="V26" s="1556"/>
      <c r="W26" s="1557"/>
      <c r="X26" s="1550"/>
      <c r="Y26" s="3440"/>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40"/>
      <c r="Q27" s="1555" t="str">
        <f t="shared" ref="Q27:Q47" si="8">B27</f>
        <v>楼层</v>
      </c>
      <c r="R27" s="1556" t="s">
        <v>8</v>
      </c>
      <c r="S27" s="1557">
        <f>F27</f>
        <v>100</v>
      </c>
      <c r="T27" s="1556" t="s">
        <v>8</v>
      </c>
      <c r="U27" s="1557">
        <f>H27</f>
        <v>100</v>
      </c>
      <c r="V27" s="1556" t="s">
        <v>8</v>
      </c>
      <c r="W27" s="1557">
        <f>J27</f>
        <v>100</v>
      </c>
      <c r="X27" s="1550"/>
      <c r="Y27" s="3440"/>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40"/>
      <c r="Q28" s="1144" t="str">
        <f t="shared" si="8"/>
        <v>朝向</v>
      </c>
      <c r="R28" s="1551" t="s">
        <v>8</v>
      </c>
      <c r="S28" s="1552">
        <f>F28</f>
        <v>100</v>
      </c>
      <c r="T28" s="1551" t="s">
        <v>8</v>
      </c>
      <c r="U28" s="1552">
        <f>H28</f>
        <v>100</v>
      </c>
      <c r="V28" s="1551" t="s">
        <v>8</v>
      </c>
      <c r="W28" s="1552">
        <f>J28</f>
        <v>100</v>
      </c>
      <c r="X28" s="1553"/>
      <c r="Y28" s="3440"/>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40"/>
      <c r="Q29" s="1555">
        <f t="shared" si="8"/>
        <v>111</v>
      </c>
      <c r="R29" s="1556" t="s">
        <v>8</v>
      </c>
      <c r="S29" s="1557">
        <f t="shared" ref="S29:S47" si="9">F29</f>
        <v>100</v>
      </c>
      <c r="T29" s="1556" t="s">
        <v>8</v>
      </c>
      <c r="U29" s="1557">
        <f t="shared" ref="U29:U47" si="10">H29</f>
        <v>100</v>
      </c>
      <c r="V29" s="1556" t="s">
        <v>8</v>
      </c>
      <c r="W29" s="1557">
        <f t="shared" ref="W29:W47" si="11">J29</f>
        <v>100</v>
      </c>
      <c r="X29" s="1550"/>
      <c r="Y29" s="3440"/>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40"/>
      <c r="Q30" s="1555">
        <f t="shared" si="8"/>
        <v>111</v>
      </c>
      <c r="R30" s="1556" t="s">
        <v>8</v>
      </c>
      <c r="S30" s="1557">
        <f t="shared" si="9"/>
        <v>100</v>
      </c>
      <c r="T30" s="1556" t="s">
        <v>8</v>
      </c>
      <c r="U30" s="1557">
        <f t="shared" si="10"/>
        <v>100</v>
      </c>
      <c r="V30" s="1556" t="s">
        <v>8</v>
      </c>
      <c r="W30" s="1557">
        <f t="shared" si="11"/>
        <v>100</v>
      </c>
      <c r="X30" s="1550"/>
      <c r="Y30" s="3440"/>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40"/>
      <c r="Q31" s="1555">
        <f t="shared" si="8"/>
        <v>111</v>
      </c>
      <c r="R31" s="1556" t="s">
        <v>8</v>
      </c>
      <c r="S31" s="1557">
        <f t="shared" si="9"/>
        <v>100</v>
      </c>
      <c r="T31" s="1556" t="s">
        <v>8</v>
      </c>
      <c r="U31" s="1557">
        <f t="shared" si="10"/>
        <v>100</v>
      </c>
      <c r="V31" s="1556" t="s">
        <v>8</v>
      </c>
      <c r="W31" s="1557">
        <f t="shared" si="11"/>
        <v>100</v>
      </c>
      <c r="X31" s="1550"/>
      <c r="Y31" s="3440"/>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40"/>
      <c r="Q32" s="1555">
        <f t="shared" si="8"/>
        <v>111</v>
      </c>
      <c r="R32" s="1556" t="s">
        <v>8</v>
      </c>
      <c r="S32" s="1557">
        <f t="shared" si="9"/>
        <v>100</v>
      </c>
      <c r="T32" s="1556" t="s">
        <v>8</v>
      </c>
      <c r="U32" s="1557">
        <f t="shared" si="10"/>
        <v>100</v>
      </c>
      <c r="V32" s="1556" t="s">
        <v>8</v>
      </c>
      <c r="W32" s="1557">
        <f t="shared" si="11"/>
        <v>100</v>
      </c>
      <c r="X32" s="1550"/>
      <c r="Y32" s="3440"/>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41" t="s">
        <v>550</v>
      </c>
      <c r="Q33" s="1555" t="str">
        <f t="shared" si="8"/>
        <v>建筑类型</v>
      </c>
      <c r="R33" s="1556" t="s">
        <v>8</v>
      </c>
      <c r="S33" s="1557">
        <f t="shared" si="9"/>
        <v>100</v>
      </c>
      <c r="T33" s="1556" t="s">
        <v>8</v>
      </c>
      <c r="U33" s="1557">
        <f t="shared" si="10"/>
        <v>100</v>
      </c>
      <c r="V33" s="1556" t="s">
        <v>8</v>
      </c>
      <c r="W33" s="1557">
        <f t="shared" si="11"/>
        <v>100</v>
      </c>
      <c r="X33" s="1550"/>
      <c r="Y33" s="3442"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42"/>
      <c r="Q34" s="1587" t="str">
        <f t="shared" si="8"/>
        <v>项目建筑规模</v>
      </c>
      <c r="R34" s="1560" t="s">
        <v>8</v>
      </c>
      <c r="S34" s="1561" t="e">
        <f t="shared" si="9"/>
        <v>#N/A</v>
      </c>
      <c r="T34" s="1560" t="s">
        <v>8</v>
      </c>
      <c r="U34" s="1561" t="e">
        <f t="shared" si="10"/>
        <v>#N/A</v>
      </c>
      <c r="V34" s="1560" t="s">
        <v>8</v>
      </c>
      <c r="W34" s="1561" t="e">
        <f t="shared" si="11"/>
        <v>#N/A</v>
      </c>
      <c r="X34" s="1562"/>
      <c r="Y34" s="3442"/>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42"/>
      <c r="Q35" s="1555" t="str">
        <f t="shared" si="8"/>
        <v>建筑结构</v>
      </c>
      <c r="R35" s="1556" t="s">
        <v>8</v>
      </c>
      <c r="S35" s="1557">
        <f t="shared" si="9"/>
        <v>100</v>
      </c>
      <c r="T35" s="1556" t="s">
        <v>8</v>
      </c>
      <c r="U35" s="1557">
        <f t="shared" si="10"/>
        <v>100</v>
      </c>
      <c r="V35" s="1556" t="s">
        <v>8</v>
      </c>
      <c r="W35" s="1557">
        <f t="shared" si="11"/>
        <v>100</v>
      </c>
      <c r="X35" s="1550"/>
      <c r="Y35" s="3442"/>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42"/>
      <c r="Q36" s="1555" t="str">
        <f t="shared" si="8"/>
        <v>公共部分装修</v>
      </c>
      <c r="R36" s="1556" t="s">
        <v>8</v>
      </c>
      <c r="S36" s="1557">
        <f t="shared" si="9"/>
        <v>100</v>
      </c>
      <c r="T36" s="1556" t="s">
        <v>8</v>
      </c>
      <c r="U36" s="1557">
        <f t="shared" si="10"/>
        <v>100</v>
      </c>
      <c r="V36" s="1556" t="s">
        <v>8</v>
      </c>
      <c r="W36" s="1557">
        <f t="shared" si="11"/>
        <v>100</v>
      </c>
      <c r="X36" s="1550"/>
      <c r="Y36" s="3442"/>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42"/>
      <c r="Q37" s="1555" t="str">
        <f t="shared" si="8"/>
        <v>成新度</v>
      </c>
      <c r="R37" s="1556" t="s">
        <v>8</v>
      </c>
      <c r="S37" s="1557" t="e">
        <f t="shared" si="9"/>
        <v>#N/A</v>
      </c>
      <c r="T37" s="1556" t="s">
        <v>8</v>
      </c>
      <c r="U37" s="1557" t="e">
        <f t="shared" si="10"/>
        <v>#N/A</v>
      </c>
      <c r="V37" s="1556" t="s">
        <v>8</v>
      </c>
      <c r="W37" s="1557" t="e">
        <f t="shared" si="11"/>
        <v>#N/A</v>
      </c>
      <c r="X37" s="1550"/>
      <c r="Y37" s="3442"/>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42"/>
      <c r="Q38" s="1144" t="str">
        <f t="shared" si="8"/>
        <v>写字楼等级</v>
      </c>
      <c r="R38" s="1551" t="s">
        <v>8</v>
      </c>
      <c r="S38" s="1552">
        <f t="shared" si="9"/>
        <v>100</v>
      </c>
      <c r="T38" s="1551" t="s">
        <v>8</v>
      </c>
      <c r="U38" s="1552">
        <f t="shared" si="10"/>
        <v>100</v>
      </c>
      <c r="V38" s="1551" t="s">
        <v>8</v>
      </c>
      <c r="W38" s="1552">
        <f t="shared" si="11"/>
        <v>100</v>
      </c>
      <c r="X38" s="1553"/>
      <c r="Y38" s="3442"/>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42" t="s">
        <v>550</v>
      </c>
      <c r="Q39" s="1555" t="str">
        <f t="shared" si="8"/>
        <v>物业管理</v>
      </c>
      <c r="R39" s="1556" t="s">
        <v>8</v>
      </c>
      <c r="S39" s="1557">
        <f t="shared" si="9"/>
        <v>100</v>
      </c>
      <c r="T39" s="1556" t="s">
        <v>8</v>
      </c>
      <c r="U39" s="1557">
        <f t="shared" si="10"/>
        <v>100</v>
      </c>
      <c r="V39" s="1556" t="s">
        <v>8</v>
      </c>
      <c r="W39" s="1557">
        <f t="shared" si="11"/>
        <v>100</v>
      </c>
      <c r="X39" s="1550"/>
      <c r="Y39" s="3442"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42"/>
      <c r="Q40" s="1555" t="str">
        <f t="shared" si="8"/>
        <v>市政基础设施</v>
      </c>
      <c r="R40" s="1556" t="s">
        <v>8</v>
      </c>
      <c r="S40" s="1557">
        <f t="shared" si="9"/>
        <v>100</v>
      </c>
      <c r="T40" s="1556" t="s">
        <v>8</v>
      </c>
      <c r="U40" s="1557">
        <f t="shared" si="10"/>
        <v>100</v>
      </c>
      <c r="V40" s="1556" t="s">
        <v>8</v>
      </c>
      <c r="W40" s="1557">
        <f t="shared" si="11"/>
        <v>100</v>
      </c>
      <c r="X40" s="1550"/>
      <c r="Y40" s="3442"/>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42"/>
      <c r="Q41" s="1555" t="str">
        <f t="shared" si="8"/>
        <v>层高</v>
      </c>
      <c r="R41" s="1556" t="s">
        <v>8</v>
      </c>
      <c r="S41" s="1557">
        <f t="shared" si="9"/>
        <v>100</v>
      </c>
      <c r="T41" s="1556" t="s">
        <v>8</v>
      </c>
      <c r="U41" s="1557">
        <f t="shared" si="10"/>
        <v>100</v>
      </c>
      <c r="V41" s="1556" t="s">
        <v>8</v>
      </c>
      <c r="W41" s="1557">
        <f t="shared" si="11"/>
        <v>100</v>
      </c>
      <c r="X41" s="1550"/>
      <c r="Y41" s="3442"/>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42"/>
      <c r="Q42" s="1587" t="str">
        <f t="shared" si="8"/>
        <v>单套建筑面积</v>
      </c>
      <c r="R42" s="1560" t="s">
        <v>8</v>
      </c>
      <c r="S42" s="1561">
        <f t="shared" si="9"/>
        <v>100</v>
      </c>
      <c r="T42" s="1560" t="s">
        <v>8</v>
      </c>
      <c r="U42" s="1561">
        <f t="shared" si="10"/>
        <v>100</v>
      </c>
      <c r="V42" s="1560" t="s">
        <v>8</v>
      </c>
      <c r="W42" s="1561">
        <f t="shared" si="11"/>
        <v>100</v>
      </c>
      <c r="X42" s="1562"/>
      <c r="Y42" s="3442"/>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42"/>
      <c r="Q43" s="1555" t="str">
        <f t="shared" si="8"/>
        <v>内部装修</v>
      </c>
      <c r="R43" s="1556" t="s">
        <v>8</v>
      </c>
      <c r="S43" s="1557">
        <f t="shared" si="9"/>
        <v>100</v>
      </c>
      <c r="T43" s="1556" t="s">
        <v>8</v>
      </c>
      <c r="U43" s="1557">
        <f t="shared" si="10"/>
        <v>100</v>
      </c>
      <c r="V43" s="1556" t="s">
        <v>8</v>
      </c>
      <c r="W43" s="1557">
        <f t="shared" si="11"/>
        <v>100</v>
      </c>
      <c r="X43" s="1550"/>
      <c r="Y43" s="3442"/>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42"/>
      <c r="Q44" s="1555" t="str">
        <f t="shared" si="8"/>
        <v>内部装修维护情况</v>
      </c>
      <c r="R44" s="1556" t="s">
        <v>8</v>
      </c>
      <c r="S44" s="1557">
        <f t="shared" si="9"/>
        <v>100</v>
      </c>
      <c r="T44" s="1556" t="s">
        <v>8</v>
      </c>
      <c r="U44" s="1557">
        <f t="shared" si="10"/>
        <v>100</v>
      </c>
      <c r="V44" s="1556" t="s">
        <v>8</v>
      </c>
      <c r="W44" s="1557">
        <f t="shared" si="11"/>
        <v>100</v>
      </c>
      <c r="X44" s="1550"/>
      <c r="Y44" s="3442"/>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42"/>
      <c r="Q45" s="1144">
        <f t="shared" si="8"/>
        <v>111</v>
      </c>
      <c r="R45" s="1551" t="s">
        <v>8</v>
      </c>
      <c r="S45" s="1552">
        <f t="shared" si="9"/>
        <v>100</v>
      </c>
      <c r="T45" s="1551" t="s">
        <v>8</v>
      </c>
      <c r="U45" s="1552">
        <f t="shared" si="10"/>
        <v>100</v>
      </c>
      <c r="V45" s="1551" t="s">
        <v>8</v>
      </c>
      <c r="W45" s="1552">
        <f t="shared" si="11"/>
        <v>100</v>
      </c>
      <c r="X45" s="1553"/>
      <c r="Y45" s="3442"/>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42"/>
      <c r="Q46" s="1555">
        <f t="shared" si="8"/>
        <v>111</v>
      </c>
      <c r="R46" s="1556" t="s">
        <v>8</v>
      </c>
      <c r="S46" s="1557">
        <f t="shared" si="9"/>
        <v>100</v>
      </c>
      <c r="T46" s="1556" t="s">
        <v>8</v>
      </c>
      <c r="U46" s="1557">
        <f t="shared" si="10"/>
        <v>100</v>
      </c>
      <c r="V46" s="1556" t="s">
        <v>8</v>
      </c>
      <c r="W46" s="1557">
        <f t="shared" si="11"/>
        <v>100</v>
      </c>
      <c r="X46" s="1550"/>
      <c r="Y46" s="3442"/>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23"/>
      <c r="Q47" s="1555">
        <f t="shared" si="8"/>
        <v>111</v>
      </c>
      <c r="R47" s="1556" t="s">
        <v>8</v>
      </c>
      <c r="S47" s="1557">
        <f t="shared" si="9"/>
        <v>100</v>
      </c>
      <c r="T47" s="1556" t="s">
        <v>8</v>
      </c>
      <c r="U47" s="1557">
        <f t="shared" si="10"/>
        <v>100</v>
      </c>
      <c r="V47" s="1556" t="s">
        <v>8</v>
      </c>
      <c r="W47" s="1557">
        <f t="shared" si="11"/>
        <v>100</v>
      </c>
      <c r="X47" s="1550"/>
      <c r="Y47" s="3523"/>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403" t="str">
        <f>A48</f>
        <v>成交单价（元/平方米）</v>
      </c>
      <c r="Q48" s="3405"/>
      <c r="R48" s="3522">
        <f>E48</f>
        <v>0</v>
      </c>
      <c r="S48" s="3522"/>
      <c r="T48" s="3522">
        <f>G48</f>
        <v>0</v>
      </c>
      <c r="U48" s="3522"/>
      <c r="V48" s="3522">
        <f>I48</f>
        <v>0</v>
      </c>
      <c r="W48" s="3522"/>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403" t="str">
        <f>A49</f>
        <v>比较价格（元/平方米）</v>
      </c>
      <c r="Q49" s="3405"/>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24" t="str">
        <f>A50</f>
        <v>估价对象XX用房的比较价格（楼面单价，元/平方米）</v>
      </c>
      <c r="Q50" s="3403"/>
      <c r="R50" s="3521" t="e">
        <f>IF(F1="售价",ROUND(AVERAGE(R49:V49),0),ROUND(AVERAGE(R49:V49),1))</f>
        <v>#DIV/0!</v>
      </c>
      <c r="S50" s="3521"/>
      <c r="T50" s="3521"/>
      <c r="U50" s="3521"/>
      <c r="V50" s="3521"/>
      <c r="W50" s="352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2020-4</v>
      </c>
      <c r="D59" s="2756">
        <f>EDATE(C59,-1)</f>
        <v>43891</v>
      </c>
      <c r="E59" s="2756">
        <f t="shared" ref="E59:O59" si="13">EDATE(D59,-1)</f>
        <v>43862</v>
      </c>
      <c r="F59" s="2756">
        <f t="shared" si="13"/>
        <v>43831</v>
      </c>
      <c r="G59" s="2756">
        <f t="shared" si="13"/>
        <v>43800</v>
      </c>
      <c r="H59" s="2756">
        <f t="shared" si="13"/>
        <v>43770</v>
      </c>
      <c r="I59" s="2756">
        <f t="shared" si="13"/>
        <v>43739</v>
      </c>
      <c r="J59" s="2756">
        <f t="shared" si="13"/>
        <v>43709</v>
      </c>
      <c r="K59" s="2756">
        <f t="shared" si="13"/>
        <v>43678</v>
      </c>
      <c r="L59" s="2756">
        <f t="shared" si="13"/>
        <v>43647</v>
      </c>
      <c r="M59" s="2756">
        <f t="shared" si="13"/>
        <v>43617</v>
      </c>
      <c r="N59" s="2756">
        <f t="shared" si="13"/>
        <v>43586</v>
      </c>
      <c r="O59" s="2756">
        <f t="shared" si="13"/>
        <v>43556</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11" t="s">
        <v>522</v>
      </c>
      <c r="D4" s="3412"/>
      <c r="E4" s="3445" t="s">
        <v>523</v>
      </c>
      <c r="F4" s="3446"/>
      <c r="G4" s="3411" t="s">
        <v>524</v>
      </c>
      <c r="H4" s="3412"/>
      <c r="I4" s="3411" t="s">
        <v>525</v>
      </c>
      <c r="J4" s="3412"/>
      <c r="K4" s="512" t="s">
        <v>526</v>
      </c>
      <c r="L4" s="2115"/>
      <c r="M4" s="2116"/>
      <c r="N4" s="2116"/>
      <c r="O4" s="2116"/>
      <c r="P4" s="3413" t="s">
        <v>527</v>
      </c>
      <c r="Q4" s="3414"/>
      <c r="R4" s="3419" t="s">
        <v>523</v>
      </c>
      <c r="S4" s="3420"/>
      <c r="T4" s="3419" t="s">
        <v>524</v>
      </c>
      <c r="U4" s="3420"/>
      <c r="V4" s="3406" t="s">
        <v>525</v>
      </c>
      <c r="W4" s="3406"/>
      <c r="X4" s="1550"/>
      <c r="Y4" s="3419" t="s">
        <v>527</v>
      </c>
      <c r="Z4" s="3420"/>
      <c r="AA4" s="3408" t="s">
        <v>523</v>
      </c>
      <c r="AB4" s="3409" t="s">
        <v>524</v>
      </c>
      <c r="AC4" s="3408" t="s">
        <v>525</v>
      </c>
    </row>
    <row r="5" spans="1:29" ht="15">
      <c r="A5" s="513"/>
      <c r="B5" s="514"/>
      <c r="C5" s="3427" t="s">
        <v>2927</v>
      </c>
      <c r="D5" s="3428"/>
      <c r="E5" s="3447" t="s">
        <v>2928</v>
      </c>
      <c r="F5" s="3448"/>
      <c r="G5" s="3427" t="s">
        <v>2929</v>
      </c>
      <c r="H5" s="3428"/>
      <c r="I5" s="3427" t="s">
        <v>2930</v>
      </c>
      <c r="J5" s="3428"/>
      <c r="K5" s="512"/>
      <c r="L5" s="2115"/>
      <c r="M5" s="2116"/>
      <c r="N5" s="2116"/>
      <c r="O5" s="2116"/>
      <c r="P5" s="3415"/>
      <c r="Q5" s="3416"/>
      <c r="R5" s="3421"/>
      <c r="S5" s="3422"/>
      <c r="T5" s="3421"/>
      <c r="U5" s="3422"/>
      <c r="V5" s="3406"/>
      <c r="W5" s="3406"/>
      <c r="X5" s="1550"/>
      <c r="Y5" s="3421"/>
      <c r="Z5" s="3422"/>
      <c r="AA5" s="3409"/>
      <c r="AB5" s="3409"/>
      <c r="AC5" s="3409"/>
    </row>
    <row r="6" spans="1:29" ht="15.75" thickBot="1">
      <c r="A6" s="515"/>
      <c r="B6" s="516"/>
      <c r="C6" s="3425" t="s">
        <v>2931</v>
      </c>
      <c r="D6" s="3426"/>
      <c r="E6" s="3443" t="s">
        <v>2931</v>
      </c>
      <c r="F6" s="3444"/>
      <c r="G6" s="3425" t="s">
        <v>2931</v>
      </c>
      <c r="H6" s="3426"/>
      <c r="I6" s="3425" t="s">
        <v>2931</v>
      </c>
      <c r="J6" s="3426"/>
      <c r="K6" s="512" t="s">
        <v>528</v>
      </c>
      <c r="L6" s="2115"/>
      <c r="M6" s="2116"/>
      <c r="N6" s="2116"/>
      <c r="O6" s="2116"/>
      <c r="P6" s="3417"/>
      <c r="Q6" s="3418"/>
      <c r="R6" s="3421"/>
      <c r="S6" s="3422"/>
      <c r="T6" s="3423"/>
      <c r="U6" s="3424"/>
      <c r="V6" s="3406"/>
      <c r="W6" s="3406"/>
      <c r="X6" s="1550"/>
      <c r="Y6" s="3423"/>
      <c r="Z6" s="3424"/>
      <c r="AA6" s="3410"/>
      <c r="AB6" s="3410"/>
      <c r="AC6" s="3410"/>
    </row>
    <row r="7" spans="1:29" s="1213" customFormat="1" ht="15.75" thickBot="1">
      <c r="A7" s="2863"/>
      <c r="B7" s="2870" t="s">
        <v>529</v>
      </c>
      <c r="C7" s="517">
        <f>'数据-取费表'!B2</f>
        <v>43935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36" t="s">
        <v>530</v>
      </c>
      <c r="Q7" s="3438"/>
      <c r="R7" s="1551" t="s">
        <v>8</v>
      </c>
      <c r="S7" s="1552">
        <f t="shared" ref="S7:S15" si="0">F7</f>
        <v>0</v>
      </c>
      <c r="T7" s="1551" t="s">
        <v>8</v>
      </c>
      <c r="U7" s="1552">
        <f t="shared" ref="U7:U15" si="1">H7</f>
        <v>0</v>
      </c>
      <c r="V7" s="1551" t="s">
        <v>8</v>
      </c>
      <c r="W7" s="1552">
        <f t="shared" ref="W7:W15" si="2">J7</f>
        <v>0</v>
      </c>
      <c r="X7" s="1553"/>
      <c r="Y7" s="3436" t="s">
        <v>530</v>
      </c>
      <c r="Z7" s="3437"/>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36" t="s">
        <v>533</v>
      </c>
      <c r="Q8" s="3437"/>
      <c r="R8" s="1551" t="s">
        <v>8</v>
      </c>
      <c r="S8" s="1552">
        <f t="shared" si="0"/>
        <v>0</v>
      </c>
      <c r="T8" s="1551" t="s">
        <v>8</v>
      </c>
      <c r="U8" s="1552">
        <f t="shared" si="1"/>
        <v>0</v>
      </c>
      <c r="V8" s="1551" t="s">
        <v>8</v>
      </c>
      <c r="W8" s="1552">
        <f t="shared" si="2"/>
        <v>0</v>
      </c>
      <c r="X8" s="1553"/>
      <c r="Y8" s="3436" t="s">
        <v>533</v>
      </c>
      <c r="Z8" s="3437"/>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51"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05"/>
      <c r="Q11" s="1144" t="str">
        <f t="shared" si="6"/>
        <v>容积率</v>
      </c>
      <c r="R11" s="1551" t="s">
        <v>8</v>
      </c>
      <c r="S11" s="1552" t="e">
        <f t="shared" si="0"/>
        <v>#N/A</v>
      </c>
      <c r="T11" s="1551" t="s">
        <v>8</v>
      </c>
      <c r="U11" s="1552" t="e">
        <f t="shared" si="1"/>
        <v>#N/A</v>
      </c>
      <c r="V11" s="1551" t="s">
        <v>8</v>
      </c>
      <c r="W11" s="1552" t="e">
        <f t="shared" si="2"/>
        <v>#N/A</v>
      </c>
      <c r="X11" s="1553"/>
      <c r="Y11" s="3351"/>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51"/>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51"/>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05"/>
      <c r="Q14" s="1144">
        <f t="shared" si="6"/>
        <v>111</v>
      </c>
      <c r="R14" s="1551" t="s">
        <v>8</v>
      </c>
      <c r="S14" s="1552">
        <f t="shared" si="0"/>
        <v>100</v>
      </c>
      <c r="T14" s="1551" t="s">
        <v>8</v>
      </c>
      <c r="U14" s="1552">
        <f t="shared" si="1"/>
        <v>100</v>
      </c>
      <c r="V14" s="1551" t="s">
        <v>8</v>
      </c>
      <c r="W14" s="1552">
        <f t="shared" si="2"/>
        <v>100</v>
      </c>
      <c r="X14" s="1553"/>
      <c r="Y14" s="3351"/>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39" t="s">
        <v>540</v>
      </c>
      <c r="Q15" s="1555" t="str">
        <f t="shared" si="6"/>
        <v>产业集聚程度</v>
      </c>
      <c r="R15" s="1556" t="s">
        <v>8</v>
      </c>
      <c r="S15" s="1557">
        <f t="shared" si="0"/>
        <v>100</v>
      </c>
      <c r="T15" s="1556" t="s">
        <v>8</v>
      </c>
      <c r="U15" s="1557">
        <f t="shared" si="1"/>
        <v>100</v>
      </c>
      <c r="V15" s="1556" t="s">
        <v>8</v>
      </c>
      <c r="W15" s="1557">
        <f t="shared" si="2"/>
        <v>100</v>
      </c>
      <c r="X15" s="1550"/>
      <c r="Y15" s="3439"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40"/>
      <c r="Q16" s="1555"/>
      <c r="R16" s="1556"/>
      <c r="S16" s="1557"/>
      <c r="T16" s="1556"/>
      <c r="U16" s="1557"/>
      <c r="V16" s="1556"/>
      <c r="W16" s="1557"/>
      <c r="X16" s="1550"/>
      <c r="Y16" s="344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40"/>
      <c r="Q17" s="1555" t="str">
        <f>B17</f>
        <v>交通便捷度</v>
      </c>
      <c r="R17" s="1556" t="s">
        <v>8</v>
      </c>
      <c r="S17" s="1557">
        <f>F17</f>
        <v>100</v>
      </c>
      <c r="T17" s="1556" t="s">
        <v>8</v>
      </c>
      <c r="U17" s="1557">
        <f>H17</f>
        <v>100</v>
      </c>
      <c r="V17" s="1556" t="s">
        <v>8</v>
      </c>
      <c r="W17" s="1557">
        <f>J17</f>
        <v>100</v>
      </c>
      <c r="X17" s="1550"/>
      <c r="Y17" s="344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40"/>
      <c r="Q18" s="1555"/>
      <c r="R18" s="1556"/>
      <c r="S18" s="1557"/>
      <c r="T18" s="1556"/>
      <c r="U18" s="1557"/>
      <c r="V18" s="1556"/>
      <c r="W18" s="1557"/>
      <c r="X18" s="1550"/>
      <c r="Y18" s="3440"/>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40"/>
      <c r="Q19" s="1555" t="str">
        <f>B19</f>
        <v>公共配套设施</v>
      </c>
      <c r="R19" s="1556" t="s">
        <v>8</v>
      </c>
      <c r="S19" s="1557">
        <f>F19</f>
        <v>100</v>
      </c>
      <c r="T19" s="1556" t="s">
        <v>8</v>
      </c>
      <c r="U19" s="1557">
        <f>H19</f>
        <v>100</v>
      </c>
      <c r="V19" s="1556" t="s">
        <v>8</v>
      </c>
      <c r="W19" s="1557">
        <f>J19</f>
        <v>100</v>
      </c>
      <c r="X19" s="1550"/>
      <c r="Y19" s="344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40"/>
      <c r="Q20" s="1555"/>
      <c r="R20" s="1556"/>
      <c r="S20" s="1557"/>
      <c r="T20" s="1556"/>
      <c r="U20" s="1557"/>
      <c r="V20" s="1556"/>
      <c r="W20" s="1557"/>
      <c r="X20" s="1550"/>
      <c r="Y20" s="3440"/>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40"/>
      <c r="Q21" s="2540" t="str">
        <f>B21</f>
        <v>基础设施水平</v>
      </c>
      <c r="R21" s="1556" t="s">
        <v>8</v>
      </c>
      <c r="S21" s="1557">
        <f>F21</f>
        <v>100</v>
      </c>
      <c r="T21" s="1556" t="s">
        <v>8</v>
      </c>
      <c r="U21" s="1557">
        <f>H21</f>
        <v>100</v>
      </c>
      <c r="V21" s="1556" t="s">
        <v>8</v>
      </c>
      <c r="W21" s="1557">
        <f>J21</f>
        <v>100</v>
      </c>
      <c r="X21" s="2542"/>
      <c r="Y21" s="3440"/>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440"/>
      <c r="Q22" s="2540"/>
      <c r="R22" s="1556"/>
      <c r="S22" s="1557"/>
      <c r="T22" s="1556"/>
      <c r="U22" s="1557"/>
      <c r="V22" s="1556"/>
      <c r="W22" s="1557"/>
      <c r="X22" s="2542"/>
      <c r="Y22" s="3440"/>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40"/>
      <c r="Q23" s="1555" t="str">
        <f>B23</f>
        <v>环境质量</v>
      </c>
      <c r="R23" s="1556" t="s">
        <v>8</v>
      </c>
      <c r="S23" s="1557">
        <f>F23</f>
        <v>100</v>
      </c>
      <c r="T23" s="1556" t="s">
        <v>8</v>
      </c>
      <c r="U23" s="1557">
        <f>H23</f>
        <v>100</v>
      </c>
      <c r="V23" s="1556" t="s">
        <v>8</v>
      </c>
      <c r="W23" s="1557">
        <f>J23</f>
        <v>100</v>
      </c>
      <c r="X23" s="1550"/>
      <c r="Y23" s="3440"/>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40"/>
      <c r="Q24" s="1555"/>
      <c r="R24" s="1556"/>
      <c r="S24" s="1557"/>
      <c r="T24" s="1556"/>
      <c r="U24" s="1557"/>
      <c r="V24" s="1556"/>
      <c r="W24" s="1557"/>
      <c r="X24" s="1550"/>
      <c r="Y24" s="344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40"/>
      <c r="Q25" s="1555">
        <f>B25</f>
        <v>111</v>
      </c>
      <c r="R25" s="1556" t="s">
        <v>8</v>
      </c>
      <c r="S25" s="1557">
        <f>F25</f>
        <v>100</v>
      </c>
      <c r="T25" s="1556" t="s">
        <v>8</v>
      </c>
      <c r="U25" s="1557">
        <f>H25</f>
        <v>100</v>
      </c>
      <c r="V25" s="1556" t="s">
        <v>8</v>
      </c>
      <c r="W25" s="1557">
        <f>J25</f>
        <v>100</v>
      </c>
      <c r="X25" s="1550"/>
      <c r="Y25" s="344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40"/>
      <c r="Q26" s="1555">
        <f t="shared" ref="Q26:Q40" si="8">B26</f>
        <v>111</v>
      </c>
      <c r="R26" s="1556" t="s">
        <v>8</v>
      </c>
      <c r="S26" s="1557">
        <f>F26</f>
        <v>100</v>
      </c>
      <c r="T26" s="1556" t="s">
        <v>8</v>
      </c>
      <c r="U26" s="1557">
        <f>H26</f>
        <v>100</v>
      </c>
      <c r="V26" s="1556" t="s">
        <v>8</v>
      </c>
      <c r="W26" s="1557">
        <f>J26</f>
        <v>100</v>
      </c>
      <c r="X26" s="1550"/>
      <c r="Y26" s="3440"/>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40"/>
      <c r="Q27" s="1144">
        <f t="shared" si="8"/>
        <v>111</v>
      </c>
      <c r="R27" s="1551" t="s">
        <v>8</v>
      </c>
      <c r="S27" s="1552">
        <f>F27</f>
        <v>100</v>
      </c>
      <c r="T27" s="1551" t="s">
        <v>8</v>
      </c>
      <c r="U27" s="1552">
        <f>H27</f>
        <v>100</v>
      </c>
      <c r="V27" s="1551" t="s">
        <v>8</v>
      </c>
      <c r="W27" s="1552">
        <f>J27</f>
        <v>100</v>
      </c>
      <c r="X27" s="1553"/>
      <c r="Y27" s="3440"/>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40"/>
      <c r="Q28" s="1555">
        <f t="shared" si="8"/>
        <v>111</v>
      </c>
      <c r="R28" s="1556" t="s">
        <v>8</v>
      </c>
      <c r="S28" s="1557">
        <f t="shared" ref="S28:S40" si="9">F28</f>
        <v>100</v>
      </c>
      <c r="T28" s="1556" t="s">
        <v>8</v>
      </c>
      <c r="U28" s="1557">
        <f t="shared" ref="U28:U40" si="10">H28</f>
        <v>100</v>
      </c>
      <c r="V28" s="1556" t="s">
        <v>8</v>
      </c>
      <c r="W28" s="1557">
        <f t="shared" ref="W28:W40" si="11">J28</f>
        <v>100</v>
      </c>
      <c r="X28" s="1550"/>
      <c r="Y28" s="3440"/>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41" t="s">
        <v>550</v>
      </c>
      <c r="Q29" s="1555" t="str">
        <f t="shared" si="8"/>
        <v>建筑类型</v>
      </c>
      <c r="R29" s="1556" t="s">
        <v>8</v>
      </c>
      <c r="S29" s="1557">
        <f t="shared" si="9"/>
        <v>100</v>
      </c>
      <c r="T29" s="1556" t="s">
        <v>8</v>
      </c>
      <c r="U29" s="1557">
        <f t="shared" si="10"/>
        <v>100</v>
      </c>
      <c r="V29" s="1556" t="s">
        <v>8</v>
      </c>
      <c r="W29" s="1557">
        <f t="shared" si="11"/>
        <v>100</v>
      </c>
      <c r="X29" s="1550"/>
      <c r="Y29" s="3442"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42"/>
      <c r="Q30" s="1587" t="str">
        <f t="shared" si="8"/>
        <v>项目建筑规模</v>
      </c>
      <c r="R30" s="1560" t="s">
        <v>8</v>
      </c>
      <c r="S30" s="1561" t="e">
        <f t="shared" si="9"/>
        <v>#N/A</v>
      </c>
      <c r="T30" s="1560" t="s">
        <v>8</v>
      </c>
      <c r="U30" s="1561" t="e">
        <f t="shared" si="10"/>
        <v>#N/A</v>
      </c>
      <c r="V30" s="1560" t="s">
        <v>8</v>
      </c>
      <c r="W30" s="1561" t="e">
        <f t="shared" si="11"/>
        <v>#N/A</v>
      </c>
      <c r="X30" s="1562"/>
      <c r="Y30" s="3442"/>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42"/>
      <c r="Q31" s="1555" t="str">
        <f t="shared" si="8"/>
        <v>建筑结构</v>
      </c>
      <c r="R31" s="1556" t="s">
        <v>8</v>
      </c>
      <c r="S31" s="1557">
        <f t="shared" si="9"/>
        <v>100</v>
      </c>
      <c r="T31" s="1556" t="s">
        <v>8</v>
      </c>
      <c r="U31" s="1557">
        <f t="shared" si="10"/>
        <v>100</v>
      </c>
      <c r="V31" s="1556" t="s">
        <v>8</v>
      </c>
      <c r="W31" s="1557">
        <f t="shared" si="11"/>
        <v>100</v>
      </c>
      <c r="X31" s="1550"/>
      <c r="Y31" s="3442"/>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42"/>
      <c r="Q32" s="1555" t="str">
        <f t="shared" si="8"/>
        <v>公共部分装修</v>
      </c>
      <c r="R32" s="1556" t="s">
        <v>8</v>
      </c>
      <c r="S32" s="1557">
        <f t="shared" si="9"/>
        <v>100</v>
      </c>
      <c r="T32" s="1556" t="s">
        <v>8</v>
      </c>
      <c r="U32" s="1557">
        <f t="shared" si="10"/>
        <v>100</v>
      </c>
      <c r="V32" s="1556" t="s">
        <v>8</v>
      </c>
      <c r="W32" s="1557">
        <f t="shared" si="11"/>
        <v>100</v>
      </c>
      <c r="X32" s="1550"/>
      <c r="Y32" s="3442"/>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42"/>
      <c r="Q33" s="1555" t="str">
        <f t="shared" si="8"/>
        <v>成新度</v>
      </c>
      <c r="R33" s="1556" t="s">
        <v>8</v>
      </c>
      <c r="S33" s="1557" t="e">
        <f t="shared" si="9"/>
        <v>#N/A</v>
      </c>
      <c r="T33" s="1556" t="s">
        <v>8</v>
      </c>
      <c r="U33" s="1557" t="e">
        <f t="shared" si="10"/>
        <v>#N/A</v>
      </c>
      <c r="V33" s="1556" t="s">
        <v>8</v>
      </c>
      <c r="W33" s="1557" t="e">
        <f t="shared" si="11"/>
        <v>#N/A</v>
      </c>
      <c r="X33" s="1550"/>
      <c r="Y33" s="3442"/>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42"/>
      <c r="Q34" s="1144" t="str">
        <f t="shared" si="8"/>
        <v>物业管理</v>
      </c>
      <c r="R34" s="1551" t="s">
        <v>8</v>
      </c>
      <c r="S34" s="1552">
        <f t="shared" si="9"/>
        <v>100</v>
      </c>
      <c r="T34" s="1551" t="s">
        <v>8</v>
      </c>
      <c r="U34" s="1552">
        <f t="shared" si="10"/>
        <v>100</v>
      </c>
      <c r="V34" s="1551" t="s">
        <v>8</v>
      </c>
      <c r="W34" s="1552">
        <f t="shared" si="11"/>
        <v>100</v>
      </c>
      <c r="X34" s="1553"/>
      <c r="Y34" s="3442"/>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42" t="s">
        <v>550</v>
      </c>
      <c r="Q35" s="1555" t="str">
        <f t="shared" si="8"/>
        <v>市政基础设施</v>
      </c>
      <c r="R35" s="1556" t="s">
        <v>8</v>
      </c>
      <c r="S35" s="1557">
        <f t="shared" si="9"/>
        <v>100</v>
      </c>
      <c r="T35" s="1556" t="s">
        <v>8</v>
      </c>
      <c r="U35" s="1557">
        <f t="shared" si="10"/>
        <v>100</v>
      </c>
      <c r="V35" s="1556" t="s">
        <v>8</v>
      </c>
      <c r="W35" s="1557">
        <f t="shared" si="11"/>
        <v>100</v>
      </c>
      <c r="X35" s="1550"/>
      <c r="Y35" s="3442"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42"/>
      <c r="Q36" s="1555" t="str">
        <f t="shared" si="8"/>
        <v>内部装修</v>
      </c>
      <c r="R36" s="1556" t="s">
        <v>8</v>
      </c>
      <c r="S36" s="1557">
        <f t="shared" si="9"/>
        <v>100</v>
      </c>
      <c r="T36" s="1556" t="s">
        <v>8</v>
      </c>
      <c r="U36" s="1557">
        <f t="shared" si="10"/>
        <v>100</v>
      </c>
      <c r="V36" s="1556" t="s">
        <v>8</v>
      </c>
      <c r="W36" s="1557">
        <f t="shared" si="11"/>
        <v>100</v>
      </c>
      <c r="X36" s="1550"/>
      <c r="Y36" s="3442"/>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42"/>
      <c r="Q37" s="1555" t="str">
        <f t="shared" si="8"/>
        <v>内部装修状况</v>
      </c>
      <c r="R37" s="1556" t="s">
        <v>8</v>
      </c>
      <c r="S37" s="1557">
        <f t="shared" si="9"/>
        <v>100</v>
      </c>
      <c r="T37" s="1556" t="s">
        <v>8</v>
      </c>
      <c r="U37" s="1557">
        <f t="shared" si="10"/>
        <v>100</v>
      </c>
      <c r="V37" s="1556" t="s">
        <v>8</v>
      </c>
      <c r="W37" s="1557">
        <f t="shared" si="11"/>
        <v>100</v>
      </c>
      <c r="X37" s="1550"/>
      <c r="Y37" s="3442"/>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42"/>
      <c r="Q38" s="1587">
        <f t="shared" si="8"/>
        <v>111</v>
      </c>
      <c r="R38" s="1560" t="s">
        <v>8</v>
      </c>
      <c r="S38" s="1561">
        <f t="shared" si="9"/>
        <v>100</v>
      </c>
      <c r="T38" s="1560" t="s">
        <v>8</v>
      </c>
      <c r="U38" s="1561">
        <f t="shared" si="10"/>
        <v>100</v>
      </c>
      <c r="V38" s="1560" t="s">
        <v>8</v>
      </c>
      <c r="W38" s="1561">
        <f t="shared" si="11"/>
        <v>100</v>
      </c>
      <c r="X38" s="1562"/>
      <c r="Y38" s="3442"/>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42"/>
      <c r="Q39" s="1555">
        <f t="shared" si="8"/>
        <v>111</v>
      </c>
      <c r="R39" s="1556" t="s">
        <v>8</v>
      </c>
      <c r="S39" s="1557">
        <f t="shared" si="9"/>
        <v>100</v>
      </c>
      <c r="T39" s="1556" t="s">
        <v>8</v>
      </c>
      <c r="U39" s="1557">
        <f t="shared" si="10"/>
        <v>100</v>
      </c>
      <c r="V39" s="1556" t="s">
        <v>8</v>
      </c>
      <c r="W39" s="1557">
        <f t="shared" si="11"/>
        <v>100</v>
      </c>
      <c r="X39" s="1550"/>
      <c r="Y39" s="3442"/>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23"/>
      <c r="Q40" s="1555">
        <f t="shared" si="8"/>
        <v>111</v>
      </c>
      <c r="R40" s="1556" t="s">
        <v>8</v>
      </c>
      <c r="S40" s="1557">
        <f t="shared" si="9"/>
        <v>100</v>
      </c>
      <c r="T40" s="1556" t="s">
        <v>8</v>
      </c>
      <c r="U40" s="1557">
        <f t="shared" si="10"/>
        <v>100</v>
      </c>
      <c r="V40" s="1556" t="s">
        <v>8</v>
      </c>
      <c r="W40" s="1557">
        <f t="shared" si="11"/>
        <v>100</v>
      </c>
      <c r="X40" s="1550"/>
      <c r="Y40" s="3523"/>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405" t="str">
        <f>A41</f>
        <v>成交单价（元/平方米）</v>
      </c>
      <c r="Q41" s="3405"/>
      <c r="R41" s="3522">
        <f>E41</f>
        <v>0</v>
      </c>
      <c r="S41" s="3522"/>
      <c r="T41" s="3522">
        <f>G41</f>
        <v>0</v>
      </c>
      <c r="U41" s="3522"/>
      <c r="V41" s="3522">
        <f>I41</f>
        <v>0</v>
      </c>
      <c r="W41" s="3522"/>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405" t="str">
        <f>A42</f>
        <v>比较价格（元/平方米）</v>
      </c>
      <c r="Q42" s="3405"/>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02" t="str">
        <f>A43</f>
        <v>估价对象XX用房的比较价格（楼面单价，元/平方米）</v>
      </c>
      <c r="Q43" s="3403"/>
      <c r="R43" s="3521" t="e">
        <f>IF(F1="售价",ROUND(AVERAGE(R42:V42),0),ROUND(AVERAGE(R42:V42),1))</f>
        <v>#DIV/0!</v>
      </c>
      <c r="S43" s="3521"/>
      <c r="T43" s="3521"/>
      <c r="U43" s="3521"/>
      <c r="V43" s="3521"/>
      <c r="W43" s="352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2020-4</v>
      </c>
      <c r="D52" s="2756">
        <f>EDATE(C52,-1)</f>
        <v>43891</v>
      </c>
      <c r="E52" s="2756">
        <f t="shared" ref="E52:O52" si="13">EDATE(D52,-1)</f>
        <v>43862</v>
      </c>
      <c r="F52" s="2756">
        <f t="shared" si="13"/>
        <v>43831</v>
      </c>
      <c r="G52" s="2756">
        <f t="shared" si="13"/>
        <v>43800</v>
      </c>
      <c r="H52" s="2756">
        <f t="shared" si="13"/>
        <v>43770</v>
      </c>
      <c r="I52" s="2756">
        <f t="shared" si="13"/>
        <v>43739</v>
      </c>
      <c r="J52" s="2756">
        <f t="shared" si="13"/>
        <v>43709</v>
      </c>
      <c r="K52" s="2756">
        <f t="shared" si="13"/>
        <v>43678</v>
      </c>
      <c r="L52" s="2756">
        <f t="shared" si="13"/>
        <v>43647</v>
      </c>
      <c r="M52" s="2756">
        <f t="shared" si="13"/>
        <v>43617</v>
      </c>
      <c r="N52" s="2756">
        <f t="shared" si="13"/>
        <v>43586</v>
      </c>
      <c r="O52" s="2756">
        <f t="shared" si="13"/>
        <v>43556</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1" t="s">
        <v>798</v>
      </c>
      <c r="D4" s="3412"/>
      <c r="E4" s="3411" t="s">
        <v>799</v>
      </c>
      <c r="F4" s="3412"/>
      <c r="G4" s="3411" t="s">
        <v>800</v>
      </c>
      <c r="H4" s="3412"/>
      <c r="I4" s="3411" t="s">
        <v>801</v>
      </c>
      <c r="J4" s="3412"/>
      <c r="K4" s="512" t="s">
        <v>802</v>
      </c>
      <c r="L4" s="2115"/>
      <c r="M4" s="2116"/>
      <c r="N4" s="2116"/>
      <c r="O4" s="2116"/>
      <c r="P4" s="3413" t="s">
        <v>803</v>
      </c>
      <c r="Q4" s="3414"/>
      <c r="R4" s="3419" t="s">
        <v>799</v>
      </c>
      <c r="S4" s="3420"/>
      <c r="T4" s="3419" t="s">
        <v>800</v>
      </c>
      <c r="U4" s="3420"/>
      <c r="V4" s="3406" t="s">
        <v>801</v>
      </c>
      <c r="W4" s="3406"/>
      <c r="X4" s="1550"/>
      <c r="Y4" s="3419" t="s">
        <v>803</v>
      </c>
      <c r="Z4" s="3420"/>
      <c r="AA4" s="3408" t="s">
        <v>799</v>
      </c>
      <c r="AB4" s="3409" t="s">
        <v>800</v>
      </c>
      <c r="AC4" s="3408" t="s">
        <v>801</v>
      </c>
    </row>
    <row r="5" spans="1:29" ht="15">
      <c r="A5" s="513"/>
      <c r="B5" s="514"/>
      <c r="C5" s="3427" t="s">
        <v>2927</v>
      </c>
      <c r="D5" s="3428"/>
      <c r="E5" s="3427" t="s">
        <v>2928</v>
      </c>
      <c r="F5" s="3428"/>
      <c r="G5" s="3427" t="s">
        <v>2929</v>
      </c>
      <c r="H5" s="3428"/>
      <c r="I5" s="3427" t="s">
        <v>2930</v>
      </c>
      <c r="J5" s="3428"/>
      <c r="K5" s="512"/>
      <c r="L5" s="2115"/>
      <c r="M5" s="2116"/>
      <c r="N5" s="2116"/>
      <c r="O5" s="2116"/>
      <c r="P5" s="3415"/>
      <c r="Q5" s="3416"/>
      <c r="R5" s="3421"/>
      <c r="S5" s="3422"/>
      <c r="T5" s="3421"/>
      <c r="U5" s="3422"/>
      <c r="V5" s="3406"/>
      <c r="W5" s="3406"/>
      <c r="X5" s="1550"/>
      <c r="Y5" s="3421"/>
      <c r="Z5" s="3422"/>
      <c r="AA5" s="3409"/>
      <c r="AB5" s="3409"/>
      <c r="AC5" s="3409"/>
    </row>
    <row r="6" spans="1:29" ht="15.75" thickBot="1">
      <c r="A6" s="515"/>
      <c r="B6" s="516"/>
      <c r="C6" s="3425" t="s">
        <v>2931</v>
      </c>
      <c r="D6" s="3426"/>
      <c r="E6" s="3429" t="s">
        <v>2931</v>
      </c>
      <c r="F6" s="3430"/>
      <c r="G6" s="3425" t="s">
        <v>2931</v>
      </c>
      <c r="H6" s="3426"/>
      <c r="I6" s="3425" t="s">
        <v>2931</v>
      </c>
      <c r="J6" s="3426"/>
      <c r="K6" s="512" t="s">
        <v>528</v>
      </c>
      <c r="L6" s="2115"/>
      <c r="M6" s="2116"/>
      <c r="N6" s="2116"/>
      <c r="O6" s="2116"/>
      <c r="P6" s="3417"/>
      <c r="Q6" s="3418"/>
      <c r="R6" s="3421"/>
      <c r="S6" s="3422"/>
      <c r="T6" s="3423"/>
      <c r="U6" s="3424"/>
      <c r="V6" s="3406"/>
      <c r="W6" s="3406"/>
      <c r="X6" s="1550"/>
      <c r="Y6" s="3423"/>
      <c r="Z6" s="3424"/>
      <c r="AA6" s="3410"/>
      <c r="AB6" s="3410"/>
      <c r="AC6" s="3410"/>
    </row>
    <row r="7" spans="1:29" s="1213" customFormat="1" ht="15.75" thickBot="1">
      <c r="A7" s="2863"/>
      <c r="B7" s="2870" t="s">
        <v>529</v>
      </c>
      <c r="C7" s="517">
        <f>'数据-取费表'!B2</f>
        <v>43935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36" t="s">
        <v>530</v>
      </c>
      <c r="Q7" s="3438"/>
      <c r="R7" s="1551" t="s">
        <v>8</v>
      </c>
      <c r="S7" s="1552">
        <f t="shared" ref="S7:S14" si="0">F7</f>
        <v>0</v>
      </c>
      <c r="T7" s="1551" t="s">
        <v>8</v>
      </c>
      <c r="U7" s="1552">
        <f t="shared" ref="U7:U14" si="1">H7</f>
        <v>0</v>
      </c>
      <c r="V7" s="1551" t="s">
        <v>8</v>
      </c>
      <c r="W7" s="1552">
        <f t="shared" ref="W7:W14" si="2">J7</f>
        <v>0</v>
      </c>
      <c r="X7" s="1553"/>
      <c r="Y7" s="3436" t="s">
        <v>530</v>
      </c>
      <c r="Z7" s="3437"/>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36" t="s">
        <v>533</v>
      </c>
      <c r="Q8" s="3437"/>
      <c r="R8" s="1551" t="s">
        <v>8</v>
      </c>
      <c r="S8" s="1552">
        <f t="shared" si="0"/>
        <v>0</v>
      </c>
      <c r="T8" s="1551" t="s">
        <v>8</v>
      </c>
      <c r="U8" s="1552">
        <f t="shared" si="1"/>
        <v>0</v>
      </c>
      <c r="V8" s="1551" t="s">
        <v>8</v>
      </c>
      <c r="W8" s="1552">
        <f t="shared" si="2"/>
        <v>0</v>
      </c>
      <c r="X8" s="1553"/>
      <c r="Y8" s="3436" t="s">
        <v>533</v>
      </c>
      <c r="Z8" s="3437"/>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05" t="s">
        <v>535</v>
      </c>
      <c r="Q9" s="1144" t="str">
        <f t="shared" ref="Q9:Q14" si="6">B9</f>
        <v>用途</v>
      </c>
      <c r="R9" s="1551" t="s">
        <v>8</v>
      </c>
      <c r="S9" s="1552">
        <f t="shared" si="0"/>
        <v>100</v>
      </c>
      <c r="T9" s="1551" t="s">
        <v>8</v>
      </c>
      <c r="U9" s="1552">
        <f t="shared" si="1"/>
        <v>100</v>
      </c>
      <c r="V9" s="1551" t="s">
        <v>8</v>
      </c>
      <c r="W9" s="1552">
        <f t="shared" si="2"/>
        <v>100</v>
      </c>
      <c r="X9" s="1553"/>
      <c r="Y9" s="3351"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05"/>
      <c r="Q11" s="1144">
        <f t="shared" si="6"/>
        <v>111</v>
      </c>
      <c r="R11" s="1551" t="s">
        <v>8</v>
      </c>
      <c r="S11" s="1552">
        <f t="shared" si="0"/>
        <v>100</v>
      </c>
      <c r="T11" s="1551" t="s">
        <v>8</v>
      </c>
      <c r="U11" s="1552">
        <f t="shared" si="1"/>
        <v>100</v>
      </c>
      <c r="V11" s="1551" t="s">
        <v>8</v>
      </c>
      <c r="W11" s="1552">
        <f t="shared" si="2"/>
        <v>100</v>
      </c>
      <c r="X11" s="1553"/>
      <c r="Y11" s="3351"/>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51"/>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51"/>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39" t="s">
        <v>540</v>
      </c>
      <c r="Q14" s="1555" t="str">
        <f t="shared" si="6"/>
        <v>交通便捷度</v>
      </c>
      <c r="R14" s="1556" t="s">
        <v>8</v>
      </c>
      <c r="S14" s="1557">
        <f t="shared" si="0"/>
        <v>100</v>
      </c>
      <c r="T14" s="1556" t="s">
        <v>8</v>
      </c>
      <c r="U14" s="1557">
        <f t="shared" si="1"/>
        <v>100</v>
      </c>
      <c r="V14" s="1556" t="s">
        <v>8</v>
      </c>
      <c r="W14" s="1557">
        <f t="shared" si="2"/>
        <v>100</v>
      </c>
      <c r="X14" s="1550"/>
      <c r="Y14" s="3439"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40"/>
      <c r="Q15" s="1555"/>
      <c r="R15" s="1556"/>
      <c r="S15" s="1557"/>
      <c r="T15" s="1556"/>
      <c r="U15" s="1557"/>
      <c r="V15" s="1556"/>
      <c r="W15" s="1557"/>
      <c r="X15" s="1550"/>
      <c r="Y15" s="3440"/>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40"/>
      <c r="Q16" s="1555" t="str">
        <f>B16</f>
        <v>公共配套设施</v>
      </c>
      <c r="R16" s="1556" t="s">
        <v>8</v>
      </c>
      <c r="S16" s="1557">
        <f>F16</f>
        <v>100</v>
      </c>
      <c r="T16" s="1556" t="s">
        <v>8</v>
      </c>
      <c r="U16" s="1557">
        <f>H16</f>
        <v>100</v>
      </c>
      <c r="V16" s="1556" t="s">
        <v>8</v>
      </c>
      <c r="W16" s="1557">
        <f>J16</f>
        <v>100</v>
      </c>
      <c r="X16" s="1550"/>
      <c r="Y16" s="344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40"/>
      <c r="Q17" s="1555"/>
      <c r="R17" s="1556"/>
      <c r="S17" s="1557"/>
      <c r="T17" s="1556"/>
      <c r="U17" s="1557"/>
      <c r="V17" s="1556"/>
      <c r="W17" s="1557"/>
      <c r="X17" s="1550"/>
      <c r="Y17" s="3440"/>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40"/>
      <c r="Q18" s="2540" t="str">
        <f>B18</f>
        <v>基础设施水平</v>
      </c>
      <c r="R18" s="1556" t="s">
        <v>8</v>
      </c>
      <c r="S18" s="1557">
        <f>F18</f>
        <v>100</v>
      </c>
      <c r="T18" s="1556" t="s">
        <v>8</v>
      </c>
      <c r="U18" s="1557">
        <f>H18</f>
        <v>100</v>
      </c>
      <c r="V18" s="1556" t="s">
        <v>8</v>
      </c>
      <c r="W18" s="1557">
        <f>J18</f>
        <v>100</v>
      </c>
      <c r="X18" s="2542"/>
      <c r="Y18" s="3440"/>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440"/>
      <c r="Q19" s="2540"/>
      <c r="R19" s="1556"/>
      <c r="S19" s="1557"/>
      <c r="T19" s="1556"/>
      <c r="U19" s="1557"/>
      <c r="V19" s="1556"/>
      <c r="W19" s="1557"/>
      <c r="X19" s="2542"/>
      <c r="Y19" s="3440"/>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40"/>
      <c r="Q20" s="1555" t="str">
        <f>B20</f>
        <v>自然及人文环境</v>
      </c>
      <c r="R20" s="1556" t="s">
        <v>8</v>
      </c>
      <c r="S20" s="1557">
        <f>F20</f>
        <v>100</v>
      </c>
      <c r="T20" s="1556" t="s">
        <v>8</v>
      </c>
      <c r="U20" s="1557">
        <f>H20</f>
        <v>100</v>
      </c>
      <c r="V20" s="1556" t="s">
        <v>8</v>
      </c>
      <c r="W20" s="1557">
        <f>J20</f>
        <v>100</v>
      </c>
      <c r="X20" s="1550"/>
      <c r="Y20" s="344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40"/>
      <c r="Q21" s="1555"/>
      <c r="R21" s="1556"/>
      <c r="S21" s="1557"/>
      <c r="T21" s="1556"/>
      <c r="U21" s="1557"/>
      <c r="V21" s="1556"/>
      <c r="W21" s="1557"/>
      <c r="X21" s="1550"/>
      <c r="Y21" s="3440"/>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40"/>
      <c r="Q22" s="1555" t="str">
        <f>B22</f>
        <v>楼层</v>
      </c>
      <c r="R22" s="1556" t="s">
        <v>8</v>
      </c>
      <c r="S22" s="1557">
        <f>F22</f>
        <v>100</v>
      </c>
      <c r="T22" s="1556" t="s">
        <v>8</v>
      </c>
      <c r="U22" s="1557">
        <f>H22</f>
        <v>100</v>
      </c>
      <c r="V22" s="1556" t="s">
        <v>8</v>
      </c>
      <c r="W22" s="1557">
        <f>J22</f>
        <v>100</v>
      </c>
      <c r="X22" s="1550"/>
      <c r="Y22" s="3440"/>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40"/>
      <c r="Q23" s="1555">
        <f>B23</f>
        <v>111</v>
      </c>
      <c r="R23" s="1556" t="s">
        <v>8</v>
      </c>
      <c r="S23" s="1557">
        <f>F23</f>
        <v>100</v>
      </c>
      <c r="T23" s="1556" t="s">
        <v>8</v>
      </c>
      <c r="U23" s="1557">
        <f>H23</f>
        <v>100</v>
      </c>
      <c r="V23" s="1556" t="s">
        <v>8</v>
      </c>
      <c r="W23" s="1557">
        <f>J23</f>
        <v>100</v>
      </c>
      <c r="X23" s="1550"/>
      <c r="Y23" s="3440"/>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40"/>
      <c r="Q24" s="1555">
        <f t="shared" ref="Q24:Q36" si="8">B24</f>
        <v>111</v>
      </c>
      <c r="R24" s="1556" t="s">
        <v>8</v>
      </c>
      <c r="S24" s="1557">
        <f>F24</f>
        <v>100</v>
      </c>
      <c r="T24" s="1556" t="s">
        <v>8</v>
      </c>
      <c r="U24" s="1557">
        <f>H24</f>
        <v>100</v>
      </c>
      <c r="V24" s="1556" t="s">
        <v>8</v>
      </c>
      <c r="W24" s="1557">
        <f>J24</f>
        <v>100</v>
      </c>
      <c r="X24" s="1550"/>
      <c r="Y24" s="3440"/>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40"/>
      <c r="Q25" s="1144">
        <f t="shared" si="8"/>
        <v>111</v>
      </c>
      <c r="R25" s="1551" t="s">
        <v>8</v>
      </c>
      <c r="S25" s="1552">
        <f>F25</f>
        <v>100</v>
      </c>
      <c r="T25" s="1551" t="s">
        <v>8</v>
      </c>
      <c r="U25" s="1552">
        <f>H25</f>
        <v>100</v>
      </c>
      <c r="V25" s="1551" t="s">
        <v>8</v>
      </c>
      <c r="W25" s="1552">
        <f>J25</f>
        <v>100</v>
      </c>
      <c r="X25" s="1553"/>
      <c r="Y25" s="3440"/>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41"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42"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42"/>
      <c r="Q27" s="1587" t="str">
        <f t="shared" si="8"/>
        <v>项目停车位配比</v>
      </c>
      <c r="R27" s="1560" t="s">
        <v>8</v>
      </c>
      <c r="S27" s="1561">
        <f t="shared" si="9"/>
        <v>100</v>
      </c>
      <c r="T27" s="1560" t="s">
        <v>8</v>
      </c>
      <c r="U27" s="1561">
        <f t="shared" si="10"/>
        <v>100</v>
      </c>
      <c r="V27" s="1560" t="s">
        <v>8</v>
      </c>
      <c r="W27" s="1561">
        <f t="shared" si="11"/>
        <v>100</v>
      </c>
      <c r="X27" s="1562"/>
      <c r="Y27" s="3442"/>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42"/>
      <c r="Q28" s="1555" t="str">
        <f t="shared" si="8"/>
        <v>公共部分装修</v>
      </c>
      <c r="R28" s="1556" t="s">
        <v>8</v>
      </c>
      <c r="S28" s="1557">
        <f t="shared" si="9"/>
        <v>100</v>
      </c>
      <c r="T28" s="1556" t="s">
        <v>8</v>
      </c>
      <c r="U28" s="1557">
        <f t="shared" si="10"/>
        <v>100</v>
      </c>
      <c r="V28" s="1556" t="s">
        <v>8</v>
      </c>
      <c r="W28" s="1557">
        <f t="shared" si="11"/>
        <v>100</v>
      </c>
      <c r="X28" s="1550"/>
      <c r="Y28" s="3442"/>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42"/>
      <c r="Q29" s="1555" t="str">
        <f t="shared" si="8"/>
        <v>成新率</v>
      </c>
      <c r="R29" s="1556" t="s">
        <v>8</v>
      </c>
      <c r="S29" s="1557" t="e">
        <f t="shared" si="9"/>
        <v>#N/A</v>
      </c>
      <c r="T29" s="1556" t="s">
        <v>8</v>
      </c>
      <c r="U29" s="1557" t="e">
        <f t="shared" si="10"/>
        <v>#N/A</v>
      </c>
      <c r="V29" s="1556" t="s">
        <v>8</v>
      </c>
      <c r="W29" s="1557" t="e">
        <f t="shared" si="11"/>
        <v>#N/A</v>
      </c>
      <c r="X29" s="1550"/>
      <c r="Y29" s="3442"/>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42"/>
      <c r="Q30" s="1555" t="str">
        <f t="shared" si="8"/>
        <v>物业等级</v>
      </c>
      <c r="R30" s="1556" t="s">
        <v>8</v>
      </c>
      <c r="S30" s="1557">
        <f t="shared" si="9"/>
        <v>100</v>
      </c>
      <c r="T30" s="1556" t="s">
        <v>8</v>
      </c>
      <c r="U30" s="1557">
        <f t="shared" si="10"/>
        <v>100</v>
      </c>
      <c r="V30" s="1556" t="s">
        <v>8</v>
      </c>
      <c r="W30" s="1557">
        <f t="shared" si="11"/>
        <v>100</v>
      </c>
      <c r="X30" s="1550"/>
      <c r="Y30" s="3442"/>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42"/>
      <c r="Q31" s="1144" t="str">
        <f t="shared" si="8"/>
        <v>停车位面积</v>
      </c>
      <c r="R31" s="1551" t="s">
        <v>8</v>
      </c>
      <c r="S31" s="1552" t="e">
        <f t="shared" si="9"/>
        <v>#N/A</v>
      </c>
      <c r="T31" s="1551" t="s">
        <v>8</v>
      </c>
      <c r="U31" s="1552" t="e">
        <f t="shared" si="10"/>
        <v>#N/A</v>
      </c>
      <c r="V31" s="1551" t="s">
        <v>8</v>
      </c>
      <c r="W31" s="1552" t="e">
        <f t="shared" si="11"/>
        <v>#N/A</v>
      </c>
      <c r="X31" s="1553"/>
      <c r="Y31" s="3442"/>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42" t="s">
        <v>550</v>
      </c>
      <c r="Q32" s="1555" t="str">
        <f t="shared" si="8"/>
        <v>车位类型</v>
      </c>
      <c r="R32" s="1556" t="s">
        <v>8</v>
      </c>
      <c r="S32" s="1557">
        <f t="shared" si="9"/>
        <v>100</v>
      </c>
      <c r="T32" s="1556" t="s">
        <v>8</v>
      </c>
      <c r="U32" s="1557">
        <f t="shared" si="10"/>
        <v>100</v>
      </c>
      <c r="V32" s="1556" t="s">
        <v>8</v>
      </c>
      <c r="W32" s="1557">
        <f t="shared" si="11"/>
        <v>100</v>
      </c>
      <c r="X32" s="1550"/>
      <c r="Y32" s="3442"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42"/>
      <c r="Q33" s="1555" t="str">
        <f t="shared" si="8"/>
        <v>是否直接入户</v>
      </c>
      <c r="R33" s="1556" t="s">
        <v>8</v>
      </c>
      <c r="S33" s="1557">
        <f t="shared" si="9"/>
        <v>100</v>
      </c>
      <c r="T33" s="1556" t="s">
        <v>8</v>
      </c>
      <c r="U33" s="1557">
        <f t="shared" si="10"/>
        <v>100</v>
      </c>
      <c r="V33" s="1556" t="s">
        <v>8</v>
      </c>
      <c r="W33" s="1557">
        <f t="shared" si="11"/>
        <v>100</v>
      </c>
      <c r="X33" s="1550"/>
      <c r="Y33" s="3442"/>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42"/>
      <c r="Q34" s="1555">
        <f t="shared" si="8"/>
        <v>111</v>
      </c>
      <c r="R34" s="1556" t="s">
        <v>8</v>
      </c>
      <c r="S34" s="1557">
        <f t="shared" si="9"/>
        <v>100</v>
      </c>
      <c r="T34" s="1556" t="s">
        <v>8</v>
      </c>
      <c r="U34" s="1557">
        <f t="shared" si="10"/>
        <v>100</v>
      </c>
      <c r="V34" s="1556" t="s">
        <v>8</v>
      </c>
      <c r="W34" s="1557">
        <f t="shared" si="11"/>
        <v>100</v>
      </c>
      <c r="X34" s="1550"/>
      <c r="Y34" s="3442"/>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42"/>
      <c r="Q35" s="1587">
        <f t="shared" si="8"/>
        <v>111</v>
      </c>
      <c r="R35" s="1560" t="s">
        <v>8</v>
      </c>
      <c r="S35" s="1561">
        <f t="shared" si="9"/>
        <v>100</v>
      </c>
      <c r="T35" s="1560" t="s">
        <v>8</v>
      </c>
      <c r="U35" s="1561">
        <f t="shared" si="10"/>
        <v>100</v>
      </c>
      <c r="V35" s="1560" t="s">
        <v>8</v>
      </c>
      <c r="W35" s="1561">
        <f t="shared" si="11"/>
        <v>100</v>
      </c>
      <c r="X35" s="1562"/>
      <c r="Y35" s="3442"/>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42"/>
      <c r="Q36" s="1555">
        <f t="shared" si="8"/>
        <v>111</v>
      </c>
      <c r="R36" s="1556" t="s">
        <v>8</v>
      </c>
      <c r="S36" s="1557">
        <f t="shared" si="9"/>
        <v>100</v>
      </c>
      <c r="T36" s="1556" t="s">
        <v>8</v>
      </c>
      <c r="U36" s="1557">
        <f t="shared" si="10"/>
        <v>100</v>
      </c>
      <c r="V36" s="1556" t="s">
        <v>8</v>
      </c>
      <c r="W36" s="1557">
        <f t="shared" si="11"/>
        <v>100</v>
      </c>
      <c r="X36" s="1550"/>
      <c r="Y36" s="3442"/>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405" t="str">
        <f>A37</f>
        <v>成交单价</v>
      </c>
      <c r="Q37" s="3405"/>
      <c r="R37" s="3522">
        <f>E37</f>
        <v>0</v>
      </c>
      <c r="S37" s="3522"/>
      <c r="T37" s="3522">
        <f>G37</f>
        <v>0</v>
      </c>
      <c r="U37" s="3522"/>
      <c r="V37" s="3522">
        <f>I37</f>
        <v>0</v>
      </c>
      <c r="W37" s="3522"/>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405" t="str">
        <f>A38</f>
        <v>比较价格（元/平方米）</v>
      </c>
      <c r="Q38" s="3405"/>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02" t="str">
        <f>A39</f>
        <v>估价对象XX用房的比较价格（楼面单价，元/平方米）</v>
      </c>
      <c r="Q39" s="3403"/>
      <c r="R39" s="3521" t="e">
        <f>IF(F1="售价",ROUND(AVERAGE(R38:V38),0),ROUND(AVERAGE(R38:V38),1))</f>
        <v>#DIV/0!</v>
      </c>
      <c r="S39" s="3521"/>
      <c r="T39" s="3521"/>
      <c r="U39" s="3521"/>
      <c r="V39" s="3521"/>
      <c r="W39" s="352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2020-4</v>
      </c>
      <c r="D48" s="2756">
        <f>EDATE(C48,-1)</f>
        <v>43891</v>
      </c>
      <c r="E48" s="2756">
        <f t="shared" ref="E48:O48" si="13">EDATE(D48,-1)</f>
        <v>43862</v>
      </c>
      <c r="F48" s="2756">
        <f t="shared" si="13"/>
        <v>43831</v>
      </c>
      <c r="G48" s="2756">
        <f t="shared" si="13"/>
        <v>43800</v>
      </c>
      <c r="H48" s="2756">
        <f t="shared" si="13"/>
        <v>43770</v>
      </c>
      <c r="I48" s="2756">
        <f t="shared" si="13"/>
        <v>43739</v>
      </c>
      <c r="J48" s="2756">
        <f t="shared" si="13"/>
        <v>43709</v>
      </c>
      <c r="K48" s="2756">
        <f t="shared" si="13"/>
        <v>43678</v>
      </c>
      <c r="L48" s="2756">
        <f t="shared" si="13"/>
        <v>43647</v>
      </c>
      <c r="M48" s="2756">
        <f t="shared" si="13"/>
        <v>43617</v>
      </c>
      <c r="N48" s="2756">
        <f t="shared" si="13"/>
        <v>43586</v>
      </c>
      <c r="O48" s="2756">
        <f t="shared" si="13"/>
        <v>43556</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1" t="s">
        <v>798</v>
      </c>
      <c r="D4" s="3412"/>
      <c r="E4" s="3445" t="s">
        <v>799</v>
      </c>
      <c r="F4" s="3446"/>
      <c r="G4" s="3411" t="s">
        <v>800</v>
      </c>
      <c r="H4" s="3412"/>
      <c r="I4" s="3411" t="s">
        <v>801</v>
      </c>
      <c r="J4" s="3412"/>
      <c r="K4" s="512" t="s">
        <v>802</v>
      </c>
      <c r="L4" s="2115"/>
      <c r="M4" s="2116"/>
      <c r="N4" s="2116"/>
      <c r="O4" s="2116"/>
      <c r="P4" s="3413" t="s">
        <v>803</v>
      </c>
      <c r="Q4" s="3414"/>
      <c r="R4" s="3419" t="s">
        <v>799</v>
      </c>
      <c r="S4" s="3420"/>
      <c r="T4" s="3419" t="s">
        <v>800</v>
      </c>
      <c r="U4" s="3420"/>
      <c r="V4" s="3406" t="s">
        <v>801</v>
      </c>
      <c r="W4" s="3406"/>
      <c r="X4" s="1550"/>
      <c r="Y4" s="3419" t="s">
        <v>803</v>
      </c>
      <c r="Z4" s="3420"/>
      <c r="AA4" s="3408" t="s">
        <v>799</v>
      </c>
      <c r="AB4" s="3409" t="s">
        <v>800</v>
      </c>
      <c r="AC4" s="3408" t="s">
        <v>801</v>
      </c>
    </row>
    <row r="5" spans="1:29" ht="15">
      <c r="A5" s="513"/>
      <c r="B5" s="514"/>
      <c r="C5" s="3427" t="s">
        <v>2927</v>
      </c>
      <c r="D5" s="3428"/>
      <c r="E5" s="3447" t="s">
        <v>2928</v>
      </c>
      <c r="F5" s="3448"/>
      <c r="G5" s="3427" t="s">
        <v>2929</v>
      </c>
      <c r="H5" s="3428"/>
      <c r="I5" s="3427" t="s">
        <v>2930</v>
      </c>
      <c r="J5" s="3428"/>
      <c r="K5" s="512"/>
      <c r="L5" s="2115"/>
      <c r="M5" s="2116"/>
      <c r="N5" s="2116"/>
      <c r="O5" s="2116"/>
      <c r="P5" s="3415"/>
      <c r="Q5" s="3416"/>
      <c r="R5" s="3421"/>
      <c r="S5" s="3422"/>
      <c r="T5" s="3421"/>
      <c r="U5" s="3422"/>
      <c r="V5" s="3406"/>
      <c r="W5" s="3406"/>
      <c r="X5" s="1550"/>
      <c r="Y5" s="3421"/>
      <c r="Z5" s="3422"/>
      <c r="AA5" s="3409"/>
      <c r="AB5" s="3409"/>
      <c r="AC5" s="3409"/>
    </row>
    <row r="6" spans="1:29" ht="15.75" thickBot="1">
      <c r="A6" s="515"/>
      <c r="B6" s="516"/>
      <c r="C6" s="3425" t="s">
        <v>2931</v>
      </c>
      <c r="D6" s="3426"/>
      <c r="E6" s="3443" t="s">
        <v>2931</v>
      </c>
      <c r="F6" s="3444"/>
      <c r="G6" s="3425" t="s">
        <v>2931</v>
      </c>
      <c r="H6" s="3426"/>
      <c r="I6" s="3425" t="s">
        <v>2931</v>
      </c>
      <c r="J6" s="3426"/>
      <c r="K6" s="512" t="s">
        <v>528</v>
      </c>
      <c r="L6" s="2115"/>
      <c r="M6" s="2116"/>
      <c r="N6" s="2116"/>
      <c r="O6" s="2116"/>
      <c r="P6" s="3417"/>
      <c r="Q6" s="3418"/>
      <c r="R6" s="3421"/>
      <c r="S6" s="3422"/>
      <c r="T6" s="3423"/>
      <c r="U6" s="3424"/>
      <c r="V6" s="3406"/>
      <c r="W6" s="3406"/>
      <c r="X6" s="1550"/>
      <c r="Y6" s="3423"/>
      <c r="Z6" s="3424"/>
      <c r="AA6" s="3410"/>
      <c r="AB6" s="3410"/>
      <c r="AC6" s="3410"/>
    </row>
    <row r="7" spans="1:29" s="1213" customFormat="1" ht="15.75" thickBot="1">
      <c r="A7" s="2863"/>
      <c r="B7" s="2870" t="s">
        <v>529</v>
      </c>
      <c r="C7" s="517">
        <f>'数据-取费表'!B2</f>
        <v>43935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36" t="s">
        <v>530</v>
      </c>
      <c r="Q7" s="3438"/>
      <c r="R7" s="1551" t="s">
        <v>8</v>
      </c>
      <c r="S7" s="1552">
        <f t="shared" ref="S7:S14" si="0">F7</f>
        <v>0</v>
      </c>
      <c r="T7" s="1551" t="s">
        <v>8</v>
      </c>
      <c r="U7" s="1552">
        <f t="shared" ref="U7:U14" si="1">H7</f>
        <v>0</v>
      </c>
      <c r="V7" s="1551" t="s">
        <v>8</v>
      </c>
      <c r="W7" s="1552">
        <f t="shared" ref="W7:W14" si="2">J7</f>
        <v>0</v>
      </c>
      <c r="X7" s="1553"/>
      <c r="Y7" s="3436" t="s">
        <v>530</v>
      </c>
      <c r="Z7" s="3437"/>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36" t="s">
        <v>533</v>
      </c>
      <c r="Q8" s="3437"/>
      <c r="R8" s="1551" t="s">
        <v>8</v>
      </c>
      <c r="S8" s="1552">
        <f t="shared" si="0"/>
        <v>0</v>
      </c>
      <c r="T8" s="1551" t="s">
        <v>8</v>
      </c>
      <c r="U8" s="1552">
        <f t="shared" si="1"/>
        <v>0</v>
      </c>
      <c r="V8" s="1551" t="s">
        <v>8</v>
      </c>
      <c r="W8" s="1552">
        <f t="shared" si="2"/>
        <v>0</v>
      </c>
      <c r="X8" s="1553"/>
      <c r="Y8" s="3436" t="s">
        <v>533</v>
      </c>
      <c r="Z8" s="3437"/>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05" t="s">
        <v>535</v>
      </c>
      <c r="Q9" s="1144" t="str">
        <f t="shared" ref="Q9:Q14" si="6">B9</f>
        <v>用途</v>
      </c>
      <c r="R9" s="1551" t="s">
        <v>8</v>
      </c>
      <c r="S9" s="1552">
        <f t="shared" si="0"/>
        <v>100</v>
      </c>
      <c r="T9" s="1551" t="s">
        <v>8</v>
      </c>
      <c r="U9" s="1552">
        <f t="shared" si="1"/>
        <v>100</v>
      </c>
      <c r="V9" s="1551" t="s">
        <v>8</v>
      </c>
      <c r="W9" s="1552">
        <f t="shared" si="2"/>
        <v>100</v>
      </c>
      <c r="X9" s="1553"/>
      <c r="Y9" s="3351"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51"/>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05"/>
      <c r="Q11" s="1144">
        <f t="shared" si="6"/>
        <v>111</v>
      </c>
      <c r="R11" s="1551" t="s">
        <v>8</v>
      </c>
      <c r="S11" s="1552">
        <f t="shared" si="0"/>
        <v>100</v>
      </c>
      <c r="T11" s="1551" t="s">
        <v>8</v>
      </c>
      <c r="U11" s="1552">
        <f t="shared" si="1"/>
        <v>100</v>
      </c>
      <c r="V11" s="1551" t="s">
        <v>8</v>
      </c>
      <c r="W11" s="1552">
        <f t="shared" si="2"/>
        <v>100</v>
      </c>
      <c r="X11" s="1553"/>
      <c r="Y11" s="3351"/>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51"/>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51"/>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39" t="s">
        <v>540</v>
      </c>
      <c r="Q14" s="1555" t="str">
        <f t="shared" si="6"/>
        <v>交通便捷度</v>
      </c>
      <c r="R14" s="1556" t="s">
        <v>8</v>
      </c>
      <c r="S14" s="1557">
        <f t="shared" si="0"/>
        <v>100</v>
      </c>
      <c r="T14" s="1556" t="s">
        <v>8</v>
      </c>
      <c r="U14" s="1557">
        <f t="shared" si="1"/>
        <v>100</v>
      </c>
      <c r="V14" s="1556" t="s">
        <v>8</v>
      </c>
      <c r="W14" s="1557">
        <f t="shared" si="2"/>
        <v>100</v>
      </c>
      <c r="X14" s="1550"/>
      <c r="Y14" s="3439"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40"/>
      <c r="Q15" s="1555"/>
      <c r="R15" s="1556"/>
      <c r="S15" s="1557"/>
      <c r="T15" s="1556"/>
      <c r="U15" s="1557"/>
      <c r="V15" s="1556"/>
      <c r="W15" s="1557"/>
      <c r="X15" s="1550"/>
      <c r="Y15" s="3440"/>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40"/>
      <c r="Q16" s="1555" t="str">
        <f>B16</f>
        <v>公共配套设施</v>
      </c>
      <c r="R16" s="1556" t="s">
        <v>8</v>
      </c>
      <c r="S16" s="1557">
        <f>F16</f>
        <v>100</v>
      </c>
      <c r="T16" s="1556" t="s">
        <v>8</v>
      </c>
      <c r="U16" s="1557">
        <f>H16</f>
        <v>100</v>
      </c>
      <c r="V16" s="1556" t="s">
        <v>8</v>
      </c>
      <c r="W16" s="1557">
        <f>J16</f>
        <v>100</v>
      </c>
      <c r="X16" s="1550"/>
      <c r="Y16" s="344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40"/>
      <c r="Q17" s="1555"/>
      <c r="R17" s="1556"/>
      <c r="S17" s="1557"/>
      <c r="T17" s="1556"/>
      <c r="U17" s="1557"/>
      <c r="V17" s="1556"/>
      <c r="W17" s="1557"/>
      <c r="X17" s="1550"/>
      <c r="Y17" s="3440"/>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40"/>
      <c r="Q18" s="2540" t="str">
        <f>B18</f>
        <v>基础设施水平</v>
      </c>
      <c r="R18" s="1556" t="s">
        <v>8</v>
      </c>
      <c r="S18" s="1557">
        <f>F18</f>
        <v>100</v>
      </c>
      <c r="T18" s="1556" t="s">
        <v>8</v>
      </c>
      <c r="U18" s="1557">
        <f>H18</f>
        <v>100</v>
      </c>
      <c r="V18" s="1556" t="s">
        <v>8</v>
      </c>
      <c r="W18" s="1557">
        <f>J18</f>
        <v>100</v>
      </c>
      <c r="X18" s="2542"/>
      <c r="Y18" s="3440"/>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440"/>
      <c r="Q19" s="2540"/>
      <c r="R19" s="1556"/>
      <c r="S19" s="1557"/>
      <c r="T19" s="1556"/>
      <c r="U19" s="1557"/>
      <c r="V19" s="1556"/>
      <c r="W19" s="1557"/>
      <c r="X19" s="2542"/>
      <c r="Y19" s="3440"/>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40"/>
      <c r="Q20" s="1555" t="str">
        <f>B20</f>
        <v>自然及人文环境</v>
      </c>
      <c r="R20" s="1556" t="s">
        <v>8</v>
      </c>
      <c r="S20" s="1557">
        <f>F20</f>
        <v>100</v>
      </c>
      <c r="T20" s="1556" t="s">
        <v>8</v>
      </c>
      <c r="U20" s="1557">
        <f>H20</f>
        <v>100</v>
      </c>
      <c r="V20" s="1556" t="s">
        <v>8</v>
      </c>
      <c r="W20" s="1557">
        <f>J20</f>
        <v>100</v>
      </c>
      <c r="X20" s="1550"/>
      <c r="Y20" s="344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40"/>
      <c r="Q21" s="1555"/>
      <c r="R21" s="1556"/>
      <c r="S21" s="1557"/>
      <c r="T21" s="1556"/>
      <c r="U21" s="1557"/>
      <c r="V21" s="1556"/>
      <c r="W21" s="1557"/>
      <c r="X21" s="1550"/>
      <c r="Y21" s="3440"/>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40"/>
      <c r="Q22" s="1555" t="str">
        <f>B22</f>
        <v>楼层</v>
      </c>
      <c r="R22" s="1556" t="s">
        <v>8</v>
      </c>
      <c r="S22" s="1557">
        <f>F22</f>
        <v>100</v>
      </c>
      <c r="T22" s="1556" t="s">
        <v>8</v>
      </c>
      <c r="U22" s="1557">
        <f>H22</f>
        <v>100</v>
      </c>
      <c r="V22" s="1556" t="s">
        <v>8</v>
      </c>
      <c r="W22" s="1557">
        <f>J22</f>
        <v>100</v>
      </c>
      <c r="X22" s="1550"/>
      <c r="Y22" s="344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40"/>
      <c r="Q23" s="1555">
        <f>B23</f>
        <v>111</v>
      </c>
      <c r="R23" s="1556" t="s">
        <v>8</v>
      </c>
      <c r="S23" s="1557">
        <f>F23</f>
        <v>100</v>
      </c>
      <c r="T23" s="1556" t="s">
        <v>8</v>
      </c>
      <c r="U23" s="1557">
        <f>H23</f>
        <v>100</v>
      </c>
      <c r="V23" s="1556" t="s">
        <v>8</v>
      </c>
      <c r="W23" s="1557">
        <f>J23</f>
        <v>100</v>
      </c>
      <c r="X23" s="1550"/>
      <c r="Y23" s="344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40"/>
      <c r="Q24" s="1555">
        <f t="shared" ref="Q24:Q34" si="8">B24</f>
        <v>111</v>
      </c>
      <c r="R24" s="1556" t="s">
        <v>8</v>
      </c>
      <c r="S24" s="1557">
        <f>F24</f>
        <v>100</v>
      </c>
      <c r="T24" s="1556" t="s">
        <v>8</v>
      </c>
      <c r="U24" s="1557">
        <f>H24</f>
        <v>100</v>
      </c>
      <c r="V24" s="1556" t="s">
        <v>8</v>
      </c>
      <c r="W24" s="1557">
        <f>J24</f>
        <v>100</v>
      </c>
      <c r="X24" s="1550"/>
      <c r="Y24" s="3440"/>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40"/>
      <c r="Q25" s="1144">
        <f t="shared" si="8"/>
        <v>111</v>
      </c>
      <c r="R25" s="1551" t="s">
        <v>8</v>
      </c>
      <c r="S25" s="1552">
        <f>F25</f>
        <v>100</v>
      </c>
      <c r="T25" s="1551" t="s">
        <v>8</v>
      </c>
      <c r="U25" s="1552">
        <f>H25</f>
        <v>100</v>
      </c>
      <c r="V25" s="1551" t="s">
        <v>8</v>
      </c>
      <c r="W25" s="1552">
        <f>J25</f>
        <v>100</v>
      </c>
      <c r="X25" s="1553"/>
      <c r="Y25" s="3440"/>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41"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42"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42"/>
      <c r="Q27" s="1587" t="str">
        <f t="shared" si="8"/>
        <v>成新率</v>
      </c>
      <c r="R27" s="1560" t="s">
        <v>8</v>
      </c>
      <c r="S27" s="1561" t="e">
        <f t="shared" si="9"/>
        <v>#N/A</v>
      </c>
      <c r="T27" s="1560" t="s">
        <v>8</v>
      </c>
      <c r="U27" s="1561" t="e">
        <f t="shared" si="10"/>
        <v>#N/A</v>
      </c>
      <c r="V27" s="1560" t="s">
        <v>8</v>
      </c>
      <c r="W27" s="1561" t="e">
        <f t="shared" si="11"/>
        <v>#N/A</v>
      </c>
      <c r="X27" s="1562"/>
      <c r="Y27" s="3442"/>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42"/>
      <c r="Q28" s="1555" t="str">
        <f t="shared" si="8"/>
        <v>物业等级</v>
      </c>
      <c r="R28" s="1556" t="s">
        <v>8</v>
      </c>
      <c r="S28" s="1557">
        <f t="shared" si="9"/>
        <v>100</v>
      </c>
      <c r="T28" s="1556" t="s">
        <v>8</v>
      </c>
      <c r="U28" s="1557">
        <f t="shared" si="10"/>
        <v>100</v>
      </c>
      <c r="V28" s="1556" t="s">
        <v>8</v>
      </c>
      <c r="W28" s="1557">
        <f t="shared" si="11"/>
        <v>100</v>
      </c>
      <c r="X28" s="1550"/>
      <c r="Y28" s="3442"/>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42"/>
      <c r="Q29" s="1555" t="str">
        <f t="shared" si="8"/>
        <v>有无电梯</v>
      </c>
      <c r="R29" s="1556" t="s">
        <v>8</v>
      </c>
      <c r="S29" s="1557">
        <f t="shared" si="9"/>
        <v>100</v>
      </c>
      <c r="T29" s="1556" t="s">
        <v>8</v>
      </c>
      <c r="U29" s="1557">
        <f t="shared" si="10"/>
        <v>100</v>
      </c>
      <c r="V29" s="1556" t="s">
        <v>8</v>
      </c>
      <c r="W29" s="1557">
        <f t="shared" si="11"/>
        <v>100</v>
      </c>
      <c r="X29" s="1550"/>
      <c r="Y29" s="3442"/>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42"/>
      <c r="Q30" s="1555" t="str">
        <f t="shared" si="8"/>
        <v>建筑面积</v>
      </c>
      <c r="R30" s="1556" t="s">
        <v>8</v>
      </c>
      <c r="S30" s="1557" t="e">
        <f t="shared" si="9"/>
        <v>#N/A</v>
      </c>
      <c r="T30" s="1556" t="s">
        <v>8</v>
      </c>
      <c r="U30" s="1557" t="e">
        <f t="shared" si="10"/>
        <v>#N/A</v>
      </c>
      <c r="V30" s="1556" t="s">
        <v>8</v>
      </c>
      <c r="W30" s="1557" t="e">
        <f t="shared" si="11"/>
        <v>#N/A</v>
      </c>
      <c r="X30" s="1550"/>
      <c r="Y30" s="3442"/>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42"/>
      <c r="Q31" s="1144" t="str">
        <f t="shared" si="8"/>
        <v>是否封闭</v>
      </c>
      <c r="R31" s="1551" t="s">
        <v>8</v>
      </c>
      <c r="S31" s="1552">
        <f t="shared" si="9"/>
        <v>100</v>
      </c>
      <c r="T31" s="1551" t="s">
        <v>8</v>
      </c>
      <c r="U31" s="1552">
        <f t="shared" si="10"/>
        <v>100</v>
      </c>
      <c r="V31" s="1551" t="s">
        <v>8</v>
      </c>
      <c r="W31" s="1552">
        <f t="shared" si="11"/>
        <v>100</v>
      </c>
      <c r="X31" s="1553"/>
      <c r="Y31" s="3442"/>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42" t="s">
        <v>550</v>
      </c>
      <c r="Q32" s="1555">
        <f t="shared" si="8"/>
        <v>111</v>
      </c>
      <c r="R32" s="1556" t="s">
        <v>8</v>
      </c>
      <c r="S32" s="1557">
        <f t="shared" si="9"/>
        <v>100</v>
      </c>
      <c r="T32" s="1556" t="s">
        <v>8</v>
      </c>
      <c r="U32" s="1557">
        <f t="shared" si="10"/>
        <v>100</v>
      </c>
      <c r="V32" s="1556" t="s">
        <v>8</v>
      </c>
      <c r="W32" s="1557">
        <f t="shared" si="11"/>
        <v>100</v>
      </c>
      <c r="X32" s="1550"/>
      <c r="Y32" s="3442"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42"/>
      <c r="Q33" s="1555">
        <f t="shared" si="8"/>
        <v>111</v>
      </c>
      <c r="R33" s="1556" t="s">
        <v>8</v>
      </c>
      <c r="S33" s="1557">
        <f t="shared" si="9"/>
        <v>100</v>
      </c>
      <c r="T33" s="1556" t="s">
        <v>8</v>
      </c>
      <c r="U33" s="1557">
        <f t="shared" si="10"/>
        <v>100</v>
      </c>
      <c r="V33" s="1556" t="s">
        <v>8</v>
      </c>
      <c r="W33" s="1557">
        <f t="shared" si="11"/>
        <v>100</v>
      </c>
      <c r="X33" s="1550"/>
      <c r="Y33" s="3442"/>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42"/>
      <c r="Q34" s="1555">
        <f t="shared" si="8"/>
        <v>111</v>
      </c>
      <c r="R34" s="1556" t="s">
        <v>8</v>
      </c>
      <c r="S34" s="1557">
        <f t="shared" si="9"/>
        <v>100</v>
      </c>
      <c r="T34" s="1556" t="s">
        <v>8</v>
      </c>
      <c r="U34" s="1557">
        <f t="shared" si="10"/>
        <v>100</v>
      </c>
      <c r="V34" s="1556" t="s">
        <v>8</v>
      </c>
      <c r="W34" s="1557">
        <f t="shared" si="11"/>
        <v>100</v>
      </c>
      <c r="X34" s="1550"/>
      <c r="Y34" s="3442"/>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405" t="str">
        <f>A35</f>
        <v>成交单价（元/平方米）</v>
      </c>
      <c r="Q35" s="3405"/>
      <c r="R35" s="3522">
        <f>E35</f>
        <v>0</v>
      </c>
      <c r="S35" s="3522"/>
      <c r="T35" s="3522">
        <f>G35</f>
        <v>0</v>
      </c>
      <c r="U35" s="3522"/>
      <c r="V35" s="3522">
        <f>I35</f>
        <v>0</v>
      </c>
      <c r="W35" s="3522"/>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405" t="str">
        <f>A36</f>
        <v>比较价格（元/平方米）</v>
      </c>
      <c r="Q36" s="3405"/>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02" t="str">
        <f>A37</f>
        <v>估价对象XX用房的比较价格（楼面单价，元/平方米）</v>
      </c>
      <c r="Q37" s="3403"/>
      <c r="R37" s="3521" t="e">
        <f>IF(F1="售价",ROUND(AVERAGE(R36:V36),0),ROUND(AVERAGE(R36:V36),1))</f>
        <v>#DIV/0!</v>
      </c>
      <c r="S37" s="3521"/>
      <c r="T37" s="3521"/>
      <c r="U37" s="3521"/>
      <c r="V37" s="3521"/>
      <c r="W37" s="352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2020-4</v>
      </c>
      <c r="D46" s="2756">
        <f>EDATE(C46,-1)</f>
        <v>43891</v>
      </c>
      <c r="E46" s="2756">
        <f t="shared" ref="E46:O46" si="13">EDATE(D46,-1)</f>
        <v>43862</v>
      </c>
      <c r="F46" s="2756">
        <f t="shared" si="13"/>
        <v>43831</v>
      </c>
      <c r="G46" s="2756">
        <f t="shared" si="13"/>
        <v>43800</v>
      </c>
      <c r="H46" s="2756">
        <f t="shared" si="13"/>
        <v>43770</v>
      </c>
      <c r="I46" s="2756">
        <f t="shared" si="13"/>
        <v>43739</v>
      </c>
      <c r="J46" s="2756">
        <f t="shared" si="13"/>
        <v>43709</v>
      </c>
      <c r="K46" s="2756">
        <f t="shared" si="13"/>
        <v>43678</v>
      </c>
      <c r="L46" s="2756">
        <f t="shared" si="13"/>
        <v>43647</v>
      </c>
      <c r="M46" s="2756">
        <f t="shared" si="13"/>
        <v>43617</v>
      </c>
      <c r="N46" s="2756">
        <f t="shared" si="13"/>
        <v>43586</v>
      </c>
      <c r="O46" s="2756">
        <f t="shared" si="13"/>
        <v>43556</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68319.51平方米。根据《建设工程规划许可证》[]、《出让合同》[]，估价对象规划建筑面积为145126.41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2020年4月14日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根据《国有土地使用证》[]，估价对象（分摊）出让国有建设用地使用权面积为68319.51平方米。根据《建设工程规划许可证》[]、《出让合同》[]，估价对象规划建筑面积为145126.41平方米。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31" t="s">
        <v>2301</v>
      </c>
      <c r="D1" s="3532"/>
      <c r="E1" s="3532"/>
      <c r="F1" s="3532"/>
      <c r="G1" s="3532"/>
      <c r="H1" s="3532"/>
      <c r="I1" s="3532"/>
      <c r="J1" s="3532"/>
      <c r="K1" s="3532"/>
      <c r="L1" s="3532"/>
      <c r="M1" s="3532"/>
      <c r="N1" s="3532"/>
      <c r="O1" s="3532"/>
      <c r="P1" s="3532"/>
      <c r="Q1" s="3532"/>
      <c r="R1" s="3532"/>
      <c r="S1" s="3533"/>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28" t="s">
        <v>20</v>
      </c>
      <c r="D22" s="3529"/>
      <c r="E22" s="3529"/>
      <c r="F22" s="3529"/>
      <c r="G22" s="3529"/>
      <c r="H22" s="3529"/>
      <c r="I22" s="3529"/>
      <c r="J22" s="3529"/>
      <c r="K22" s="3529"/>
      <c r="L22" s="3529"/>
      <c r="M22" s="3529"/>
      <c r="N22" s="3529"/>
      <c r="O22" s="3529"/>
      <c r="P22" s="3529"/>
      <c r="Q22" s="3530"/>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43935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3002</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92" t="s">
        <v>2460</v>
      </c>
      <c r="C6" s="781" t="e">
        <f ca="1">ROUND(F6*F8*F7*(1-F9)/10000,0)</f>
        <v>#N/A</v>
      </c>
      <c r="D6" s="2458" t="s">
        <v>2459</v>
      </c>
      <c r="E6" s="782" t="s">
        <v>637</v>
      </c>
      <c r="F6" s="783" t="e">
        <f ca="1">INDIRECT("'数据-取费表'!u"&amp;$G$1)</f>
        <v>#N/A</v>
      </c>
      <c r="G6" s="1575"/>
      <c r="H6" s="2465" t="s">
        <v>1823</v>
      </c>
      <c r="I6" s="3492" t="s">
        <v>2460</v>
      </c>
      <c r="J6" s="781" t="e">
        <f ca="1">ROUND(M6*M8*M7*(1-M9)/10000,0)</f>
        <v>#N/A</v>
      </c>
      <c r="K6" s="339" t="s">
        <v>1736</v>
      </c>
      <c r="L6" s="782" t="s">
        <v>637</v>
      </c>
      <c r="M6" s="783" t="e">
        <f ca="1">INDIRECT("'数据-取费表'!z"&amp;$G$1)</f>
        <v>#N/A</v>
      </c>
    </row>
    <row r="7" spans="1:33" ht="18" customHeight="1">
      <c r="A7" s="2461"/>
      <c r="B7" s="3493"/>
      <c r="C7" s="786"/>
      <c r="D7" s="787"/>
      <c r="E7" s="782" t="s">
        <v>638</v>
      </c>
      <c r="F7" s="783" t="e">
        <f ca="1">IF(INDIRECT("'数据-取费表'!ah"&amp;$G$1)="",INDIRECT("'数据-取费表'!k"&amp;$G$1),INDIRECT("'数据-取费表'!ah"&amp;$G$1))</f>
        <v>#N/A</v>
      </c>
      <c r="G7" s="1575"/>
      <c r="H7" s="2450"/>
      <c r="I7" s="3493"/>
      <c r="J7" s="786"/>
      <c r="K7" s="787"/>
      <c r="L7" s="782" t="s">
        <v>638</v>
      </c>
      <c r="M7" s="783" t="e">
        <f ca="1">F7</f>
        <v>#N/A</v>
      </c>
    </row>
    <row r="8" spans="1:33" ht="18" customHeight="1">
      <c r="A8" s="2454"/>
      <c r="B8" s="3494"/>
      <c r="C8" s="786"/>
      <c r="D8" s="787"/>
      <c r="E8" s="782" t="s">
        <v>639</v>
      </c>
      <c r="F8" s="783" t="e">
        <f ca="1">INDIRECT("'数据-取费表'!ai"&amp;$G$1)</f>
        <v>#N/A</v>
      </c>
      <c r="G8" s="1575"/>
      <c r="H8" s="2450"/>
      <c r="I8" s="3494"/>
      <c r="J8" s="786"/>
      <c r="K8" s="787"/>
      <c r="L8" s="782" t="s">
        <v>639</v>
      </c>
      <c r="M8" s="783" t="e">
        <f ca="1">INDIRECT("'数据-取费表'!ai"&amp;$G$1)</f>
        <v>#N/A</v>
      </c>
    </row>
    <row r="9" spans="1:33" ht="18" customHeight="1">
      <c r="A9" s="784"/>
      <c r="B9" s="3495"/>
      <c r="C9" s="786"/>
      <c r="D9" s="787"/>
      <c r="E9" s="782" t="s">
        <v>640</v>
      </c>
      <c r="F9" s="792" t="e">
        <f ca="1">INDIRECT("'数据-取费表'!w"&amp;$G$1)</f>
        <v>#N/A</v>
      </c>
      <c r="G9" s="1575"/>
      <c r="H9" s="2466"/>
      <c r="I9" s="3494"/>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3146</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92" t="s">
        <v>1744</v>
      </c>
      <c r="E14" s="3193"/>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94"/>
      <c r="M16" s="2452"/>
    </row>
    <row r="17" spans="1:33" s="2046" customFormat="1" ht="18" customHeight="1">
      <c r="A17" s="1630" t="s">
        <v>1886</v>
      </c>
      <c r="B17" s="782" t="s">
        <v>653</v>
      </c>
      <c r="C17" s="53" t="e">
        <f ca="1">ROUND(F17*(F43+INDIRECT("'数据-取费表'!S"&amp;$G$1))/10000,0)</f>
        <v>#N/A</v>
      </c>
      <c r="D17" s="782" t="s">
        <v>654</v>
      </c>
      <c r="E17" s="782" t="s">
        <v>655</v>
      </c>
      <c r="F17" s="56">
        <f>'数据-取费表'!B35</f>
        <v>150</v>
      </c>
      <c r="G17" s="1576"/>
      <c r="H17" s="1631" t="s">
        <v>1823</v>
      </c>
      <c r="I17" s="782" t="s">
        <v>656</v>
      </c>
      <c r="J17" s="53" t="e">
        <f ca="1">ROUND(IF(项目基本情况!B11="自然人",J6*M17/(1+'数据-取费表'!C42),J18+J19+J20),0)</f>
        <v>#N/A</v>
      </c>
      <c r="K17" s="3192" t="s">
        <v>657</v>
      </c>
      <c r="L17" s="3191"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91"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6"/>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0.02</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6"/>
      <c r="F22" s="56"/>
      <c r="G22" s="1575"/>
      <c r="H22" s="1631" t="s">
        <v>1888</v>
      </c>
      <c r="I22" s="782" t="s">
        <v>676</v>
      </c>
      <c r="J22" s="53" t="e">
        <f ca="1">ROUND(J14*M22,0)</f>
        <v>#N/A</v>
      </c>
      <c r="K22" s="3191"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91"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6"/>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94"/>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92" t="s">
        <v>657</v>
      </c>
      <c r="E31" s="3191"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91"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3147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91"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91"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3148</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98" t="s">
        <v>2963</v>
      </c>
      <c r="L53" s="3499"/>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91"/>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6"/>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92" t="s">
        <v>657</v>
      </c>
      <c r="E58" s="3191"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91"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91"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91"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91"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91"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92" t="s">
        <v>700</v>
      </c>
      <c r="E66" s="3195"/>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D19" sqref="D19"/>
    </sheetView>
  </sheetViews>
  <sheetFormatPr defaultRowHeight="13.5"/>
  <cols>
    <col min="1" max="1" width="31.5" bestFit="1" customWidth="1"/>
    <col min="2" max="2" width="19.25" bestFit="1" customWidth="1"/>
    <col min="3" max="3" width="10.625" customWidth="1"/>
  </cols>
  <sheetData>
    <row r="1" spans="1:5">
      <c r="C1" s="3176" t="s">
        <v>3029</v>
      </c>
    </row>
    <row r="2" spans="1:5">
      <c r="A2" s="3176" t="s">
        <v>2998</v>
      </c>
      <c r="B2" s="3176" t="s">
        <v>3001</v>
      </c>
      <c r="C2">
        <v>48759.09</v>
      </c>
      <c r="D2">
        <f>C2*2</f>
        <v>97518.18</v>
      </c>
    </row>
    <row r="3" spans="1:5">
      <c r="A3" s="3176" t="s">
        <v>3000</v>
      </c>
      <c r="B3" s="3176" t="s">
        <v>3001</v>
      </c>
      <c r="C3">
        <v>68319.509999999995</v>
      </c>
      <c r="D3">
        <f>C3*2</f>
        <v>136639.01999999999</v>
      </c>
    </row>
    <row r="4" spans="1:5">
      <c r="A4" s="3176" t="s">
        <v>2999</v>
      </c>
      <c r="B4" s="3176" t="s">
        <v>3001</v>
      </c>
      <c r="C4">
        <v>61474.879999999997</v>
      </c>
      <c r="D4">
        <f>C4*2</f>
        <v>122949.75999999999</v>
      </c>
    </row>
    <row r="5" spans="1:5">
      <c r="C5">
        <f>SUM(C2:C4)</f>
        <v>178553.47999999998</v>
      </c>
    </row>
    <row r="9" spans="1:5">
      <c r="C9">
        <f>C5*2</f>
        <v>357106.95999999996</v>
      </c>
    </row>
    <row r="16" spans="1:5">
      <c r="E16">
        <f>8.25+1.3</f>
        <v>9.5500000000000007</v>
      </c>
    </row>
    <row r="17" spans="5:5">
      <c r="E17">
        <f>E16*0.6</f>
        <v>5.73</v>
      </c>
    </row>
  </sheetData>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D1" workbookViewId="0">
      <selection activeCell="F6" sqref="F6"/>
    </sheetView>
  </sheetViews>
  <sheetFormatPr defaultRowHeight="13.5"/>
  <cols>
    <col min="1" max="1" width="30.375" customWidth="1"/>
    <col min="2" max="3" width="0" hidden="1" customWidth="1"/>
    <col min="6" max="6" width="9.125" customWidth="1"/>
    <col min="13" max="13" width="18.75" customWidth="1"/>
  </cols>
  <sheetData>
    <row r="1" spans="1:14">
      <c r="A1" s="3179" t="s">
        <v>3041</v>
      </c>
      <c r="B1" s="3179" t="s">
        <v>3042</v>
      </c>
      <c r="C1" s="3179" t="s">
        <v>3043</v>
      </c>
      <c r="D1" s="3179" t="s">
        <v>3044</v>
      </c>
      <c r="E1" s="3179" t="s">
        <v>3045</v>
      </c>
      <c r="F1" s="3179" t="s">
        <v>2029</v>
      </c>
      <c r="G1" s="3179" t="s">
        <v>3046</v>
      </c>
      <c r="H1" s="3179" t="s">
        <v>3047</v>
      </c>
      <c r="I1" s="3179" t="s">
        <v>3048</v>
      </c>
      <c r="J1" s="3179" t="s">
        <v>3049</v>
      </c>
      <c r="K1" s="3179" t="s">
        <v>3050</v>
      </c>
      <c r="L1" s="3179" t="s">
        <v>3051</v>
      </c>
      <c r="M1" s="3179" t="s">
        <v>3052</v>
      </c>
      <c r="N1" s="3179" t="s">
        <v>3053</v>
      </c>
    </row>
    <row r="2" spans="1:14">
      <c r="A2" s="3179" t="s">
        <v>3054</v>
      </c>
      <c r="B2" s="3179" t="s">
        <v>3055</v>
      </c>
      <c r="C2" s="3179" t="s">
        <v>3056</v>
      </c>
      <c r="D2" s="3179">
        <v>42939.199999999997</v>
      </c>
      <c r="E2" s="3179">
        <v>94466.240000000005</v>
      </c>
      <c r="F2" s="3179" t="s">
        <v>3057</v>
      </c>
      <c r="G2" s="3179" t="s">
        <v>3058</v>
      </c>
      <c r="H2" s="3179" t="s">
        <v>3059</v>
      </c>
      <c r="I2" s="3179">
        <v>10965</v>
      </c>
      <c r="J2" s="3179">
        <v>10965</v>
      </c>
      <c r="K2" s="3179">
        <v>1160.73</v>
      </c>
      <c r="L2" s="3179">
        <v>0</v>
      </c>
      <c r="M2" s="3179" t="s">
        <v>3060</v>
      </c>
      <c r="N2" s="3179" t="s">
        <v>3061</v>
      </c>
    </row>
    <row r="3" spans="1:14" s="3181" customFormat="1">
      <c r="A3" s="3180" t="s">
        <v>3062</v>
      </c>
      <c r="B3" s="3180" t="s">
        <v>3055</v>
      </c>
      <c r="C3" s="3180" t="s">
        <v>3056</v>
      </c>
      <c r="D3" s="3180">
        <v>42366.9</v>
      </c>
      <c r="E3" s="3180">
        <v>93207.18</v>
      </c>
      <c r="F3" s="3180" t="s">
        <v>3057</v>
      </c>
      <c r="G3" s="3180" t="s">
        <v>3058</v>
      </c>
      <c r="H3" s="3180" t="s">
        <v>3059</v>
      </c>
      <c r="I3" s="3180">
        <v>10819</v>
      </c>
      <c r="J3" s="3180">
        <v>10819</v>
      </c>
      <c r="K3" s="3180">
        <v>1160.75</v>
      </c>
      <c r="L3" s="3180">
        <v>0</v>
      </c>
      <c r="M3" s="3180" t="s">
        <v>3060</v>
      </c>
      <c r="N3" s="3180" t="s">
        <v>3061</v>
      </c>
    </row>
    <row r="4" spans="1:14">
      <c r="A4" s="3179" t="s">
        <v>3063</v>
      </c>
      <c r="B4" s="3179" t="s">
        <v>3055</v>
      </c>
      <c r="C4" s="3179" t="s">
        <v>3056</v>
      </c>
      <c r="D4" s="3179">
        <v>58172.1</v>
      </c>
      <c r="E4" s="3179">
        <v>116344.2</v>
      </c>
      <c r="F4" s="3179" t="s">
        <v>3064</v>
      </c>
      <c r="G4" s="3179" t="s">
        <v>3058</v>
      </c>
      <c r="H4" s="3179" t="s">
        <v>3065</v>
      </c>
      <c r="I4" s="3179">
        <v>11798</v>
      </c>
      <c r="J4" s="3179">
        <v>11798</v>
      </c>
      <c r="K4" s="3179">
        <v>1014.05</v>
      </c>
      <c r="L4" s="3179">
        <v>0</v>
      </c>
      <c r="M4" s="3179" t="s">
        <v>3066</v>
      </c>
      <c r="N4" s="3179" t="s">
        <v>3067</v>
      </c>
    </row>
    <row r="5" spans="1:14">
      <c r="A5" s="3179" t="s">
        <v>3068</v>
      </c>
      <c r="B5" s="3179" t="s">
        <v>3055</v>
      </c>
      <c r="C5" s="3179" t="s">
        <v>3056</v>
      </c>
      <c r="D5" s="3179">
        <v>61216.7</v>
      </c>
      <c r="E5" s="3179">
        <v>122433.4</v>
      </c>
      <c r="F5" s="3179" t="s">
        <v>3064</v>
      </c>
      <c r="G5" s="3179" t="s">
        <v>3058</v>
      </c>
      <c r="H5" s="3179" t="s">
        <v>3065</v>
      </c>
      <c r="I5" s="3179">
        <v>12416</v>
      </c>
      <c r="J5" s="3179">
        <v>12416</v>
      </c>
      <c r="K5" s="3179">
        <v>1014.1</v>
      </c>
      <c r="L5" s="3179">
        <v>0</v>
      </c>
      <c r="M5" s="3179" t="s">
        <v>3069</v>
      </c>
      <c r="N5" s="3179" t="s">
        <v>3061</v>
      </c>
    </row>
    <row r="6" spans="1:14" s="3181" customFormat="1">
      <c r="A6" s="3180" t="s">
        <v>3070</v>
      </c>
      <c r="B6" s="3180" t="s">
        <v>3055</v>
      </c>
      <c r="C6" s="3180" t="s">
        <v>3056</v>
      </c>
      <c r="D6" s="3180">
        <v>65116.800000000003</v>
      </c>
      <c r="E6" s="3180">
        <v>130233.60000000001</v>
      </c>
      <c r="F6" s="3180" t="s">
        <v>3064</v>
      </c>
      <c r="G6" s="3180" t="s">
        <v>3058</v>
      </c>
      <c r="H6" s="3180" t="s">
        <v>3065</v>
      </c>
      <c r="I6" s="3180">
        <v>12718</v>
      </c>
      <c r="J6" s="3180">
        <v>12718</v>
      </c>
      <c r="K6" s="3180">
        <v>976.54</v>
      </c>
      <c r="L6" s="3180">
        <v>0</v>
      </c>
      <c r="M6" s="3180" t="s">
        <v>3071</v>
      </c>
      <c r="N6" s="3180" t="s">
        <v>3067</v>
      </c>
    </row>
    <row r="7" spans="1:14">
      <c r="A7" s="3179" t="s">
        <v>3072</v>
      </c>
      <c r="B7" s="3179" t="s">
        <v>3055</v>
      </c>
      <c r="C7" s="3179" t="s">
        <v>3056</v>
      </c>
      <c r="D7" s="3179">
        <v>58774.5</v>
      </c>
      <c r="E7" s="3179">
        <v>117549</v>
      </c>
      <c r="F7" s="3179" t="s">
        <v>3064</v>
      </c>
      <c r="G7" s="3179" t="s">
        <v>3058</v>
      </c>
      <c r="H7" s="3179" t="s">
        <v>3065</v>
      </c>
      <c r="I7" s="3179">
        <v>11214</v>
      </c>
      <c r="J7" s="3179">
        <v>11214</v>
      </c>
      <c r="K7" s="3179">
        <v>953.99</v>
      </c>
      <c r="L7" s="3179">
        <v>0</v>
      </c>
      <c r="M7" s="3179" t="s">
        <v>3069</v>
      </c>
      <c r="N7" s="3179" t="s">
        <v>3061</v>
      </c>
    </row>
    <row r="8" spans="1:14">
      <c r="A8" s="3179" t="s">
        <v>3073</v>
      </c>
      <c r="B8" s="3179" t="s">
        <v>3055</v>
      </c>
      <c r="C8" s="3179" t="s">
        <v>3056</v>
      </c>
      <c r="D8" s="3179">
        <v>57503.8</v>
      </c>
      <c r="E8" s="3179">
        <v>115007.6</v>
      </c>
      <c r="F8" s="3179" t="s">
        <v>3064</v>
      </c>
      <c r="G8" s="3179" t="s">
        <v>3058</v>
      </c>
      <c r="H8" s="3179" t="s">
        <v>3065</v>
      </c>
      <c r="I8" s="3179">
        <v>11663</v>
      </c>
      <c r="J8" s="3179">
        <v>11663</v>
      </c>
      <c r="K8" s="3179">
        <v>1014.11</v>
      </c>
      <c r="L8" s="3179">
        <v>0</v>
      </c>
      <c r="M8" s="3179" t="s">
        <v>3066</v>
      </c>
      <c r="N8" s="3179" t="s">
        <v>3067</v>
      </c>
    </row>
    <row r="9" spans="1:14" s="3181" customFormat="1">
      <c r="A9" s="3180" t="s">
        <v>3074</v>
      </c>
      <c r="B9" s="3180" t="s">
        <v>3055</v>
      </c>
      <c r="C9" s="3180" t="s">
        <v>3056</v>
      </c>
      <c r="D9" s="3180">
        <v>58811.9</v>
      </c>
      <c r="E9" s="3180">
        <v>117623.8</v>
      </c>
      <c r="F9" s="3180" t="s">
        <v>3064</v>
      </c>
      <c r="G9" s="3180" t="s">
        <v>3058</v>
      </c>
      <c r="H9" s="3180" t="s">
        <v>3065</v>
      </c>
      <c r="I9" s="3180">
        <v>11928</v>
      </c>
      <c r="J9" s="3180">
        <v>11928</v>
      </c>
      <c r="K9" s="3180">
        <v>1014.08</v>
      </c>
      <c r="L9" s="3180">
        <v>0</v>
      </c>
      <c r="M9" s="3180" t="s">
        <v>3069</v>
      </c>
      <c r="N9" s="3180" t="s">
        <v>3061</v>
      </c>
    </row>
    <row r="10" spans="1:14">
      <c r="A10" s="3179" t="s">
        <v>3075</v>
      </c>
      <c r="B10" s="3179" t="s">
        <v>3055</v>
      </c>
      <c r="C10" s="3179" t="s">
        <v>3056</v>
      </c>
      <c r="D10" s="3179">
        <v>39791.1</v>
      </c>
      <c r="E10" s="3179">
        <v>87540.42</v>
      </c>
      <c r="F10" s="3179" t="s">
        <v>3057</v>
      </c>
      <c r="G10" s="3179" t="s">
        <v>3058</v>
      </c>
      <c r="H10" s="3179" t="s">
        <v>3076</v>
      </c>
      <c r="I10" s="3179">
        <v>9565</v>
      </c>
      <c r="J10" s="3179">
        <v>9565</v>
      </c>
      <c r="K10" s="3179">
        <v>1092.6400000000001</v>
      </c>
      <c r="L10" s="3179">
        <v>0</v>
      </c>
      <c r="M10" s="3179" t="s">
        <v>3077</v>
      </c>
      <c r="N10" s="3179" t="s">
        <v>3067</v>
      </c>
    </row>
    <row r="11" spans="1:14">
      <c r="A11" s="3179" t="s">
        <v>3078</v>
      </c>
      <c r="B11" s="3179" t="s">
        <v>3055</v>
      </c>
      <c r="C11" s="3179" t="s">
        <v>3056</v>
      </c>
      <c r="D11" s="3179">
        <v>3216.4</v>
      </c>
      <c r="E11" s="3179">
        <v>9649.2000000000007</v>
      </c>
      <c r="F11" s="3179" t="s">
        <v>3079</v>
      </c>
      <c r="G11" s="3179" t="s">
        <v>3058</v>
      </c>
      <c r="H11" s="3179" t="s">
        <v>3076</v>
      </c>
      <c r="I11" s="3179">
        <v>726</v>
      </c>
      <c r="J11" s="3179">
        <v>726</v>
      </c>
      <c r="K11" s="3179">
        <v>752.38</v>
      </c>
      <c r="L11" s="3179">
        <v>0</v>
      </c>
      <c r="M11" s="3179" t="s">
        <v>3080</v>
      </c>
      <c r="N11" s="3179" t="s">
        <v>3067</v>
      </c>
    </row>
    <row r="12" spans="1:14">
      <c r="A12" s="3179" t="s">
        <v>3081</v>
      </c>
      <c r="B12" s="3179" t="s">
        <v>3055</v>
      </c>
      <c r="C12" s="3179" t="s">
        <v>3056</v>
      </c>
      <c r="D12" s="3179">
        <v>21551.3</v>
      </c>
      <c r="E12" s="3179">
        <v>43102.6</v>
      </c>
      <c r="F12" s="3179" t="s">
        <v>3064</v>
      </c>
      <c r="G12" s="3179" t="s">
        <v>3058</v>
      </c>
      <c r="H12" s="3179" t="s">
        <v>3082</v>
      </c>
      <c r="I12" s="3179">
        <v>4859</v>
      </c>
      <c r="J12" s="3179">
        <v>4859</v>
      </c>
      <c r="K12" s="3179">
        <v>1127.3</v>
      </c>
      <c r="L12" s="3179">
        <v>0</v>
      </c>
      <c r="M12" s="3179" t="s">
        <v>3069</v>
      </c>
      <c r="N12" s="3179" t="s">
        <v>3067</v>
      </c>
    </row>
    <row r="13" spans="1:14">
      <c r="A13" s="3179" t="s">
        <v>3083</v>
      </c>
      <c r="B13" s="3179" t="s">
        <v>3055</v>
      </c>
      <c r="C13" s="3179" t="s">
        <v>3056</v>
      </c>
      <c r="D13" s="3179">
        <v>1966.5</v>
      </c>
      <c r="E13" s="3179">
        <v>3146.4</v>
      </c>
      <c r="F13" s="3179" t="s">
        <v>3084</v>
      </c>
      <c r="G13" s="3179" t="s">
        <v>3058</v>
      </c>
      <c r="H13" s="3179" t="s">
        <v>3082</v>
      </c>
      <c r="I13" s="3179">
        <v>179</v>
      </c>
      <c r="J13" s="3179">
        <v>179</v>
      </c>
      <c r="K13" s="3179">
        <v>568.89</v>
      </c>
      <c r="L13" s="3179">
        <v>0</v>
      </c>
      <c r="M13" s="3179" t="s">
        <v>3085</v>
      </c>
      <c r="N13" s="3179" t="s">
        <v>3086</v>
      </c>
    </row>
    <row r="14" spans="1:14">
      <c r="A14" s="3179" t="s">
        <v>3087</v>
      </c>
      <c r="B14" s="3179" t="s">
        <v>3055</v>
      </c>
      <c r="C14" s="3179" t="s">
        <v>3056</v>
      </c>
      <c r="D14" s="3179">
        <v>3739</v>
      </c>
      <c r="E14" s="3179">
        <v>7478</v>
      </c>
      <c r="F14" s="3179" t="s">
        <v>3088</v>
      </c>
      <c r="G14" s="3179" t="s">
        <v>3058</v>
      </c>
      <c r="H14" s="3179" t="s">
        <v>3089</v>
      </c>
      <c r="I14" s="3179">
        <v>270</v>
      </c>
      <c r="J14" s="3179">
        <v>270</v>
      </c>
      <c r="K14" s="3179">
        <v>361.06</v>
      </c>
      <c r="L14" s="3179">
        <v>0</v>
      </c>
      <c r="M14" s="3179" t="s">
        <v>3090</v>
      </c>
      <c r="N14" s="3179" t="s">
        <v>3061</v>
      </c>
    </row>
    <row r="15" spans="1:14">
      <c r="A15" s="3179" t="s">
        <v>3091</v>
      </c>
      <c r="B15" s="3179" t="s">
        <v>3055</v>
      </c>
      <c r="C15" s="3179" t="s">
        <v>3056</v>
      </c>
      <c r="D15" s="3179">
        <v>7567.7</v>
      </c>
      <c r="E15" s="3179">
        <v>22703.1</v>
      </c>
      <c r="F15" s="3179" t="s">
        <v>3079</v>
      </c>
      <c r="G15" s="3179" t="s">
        <v>3058</v>
      </c>
      <c r="H15" s="3179" t="s">
        <v>3092</v>
      </c>
      <c r="I15" s="3179">
        <v>1594</v>
      </c>
      <c r="J15" s="3179">
        <v>1594</v>
      </c>
      <c r="K15" s="3179">
        <v>702.11</v>
      </c>
      <c r="L15" s="3179">
        <v>0</v>
      </c>
      <c r="M15" s="3179" t="s">
        <v>3080</v>
      </c>
      <c r="N15" s="3179" t="s">
        <v>3067</v>
      </c>
    </row>
    <row r="16" spans="1:14">
      <c r="A16" s="3179" t="s">
        <v>3093</v>
      </c>
      <c r="B16" s="3179" t="s">
        <v>3055</v>
      </c>
      <c r="C16" s="3179" t="s">
        <v>3056</v>
      </c>
      <c r="D16" s="3179">
        <v>22316.2</v>
      </c>
      <c r="E16" s="3179">
        <v>55790.5</v>
      </c>
      <c r="F16" s="3179" t="s">
        <v>3094</v>
      </c>
      <c r="G16" s="3179" t="s">
        <v>3058</v>
      </c>
      <c r="H16" s="3179" t="s">
        <v>3092</v>
      </c>
      <c r="I16" s="3179">
        <v>4931</v>
      </c>
      <c r="J16" s="3179">
        <v>4931</v>
      </c>
      <c r="K16" s="3179">
        <v>883.84</v>
      </c>
      <c r="L16" s="3179">
        <v>0</v>
      </c>
      <c r="M16" s="3179" t="s">
        <v>3095</v>
      </c>
      <c r="N16" s="3179" t="s">
        <v>3061</v>
      </c>
    </row>
    <row r="17" spans="1:14">
      <c r="A17" s="3179" t="s">
        <v>3096</v>
      </c>
      <c r="B17" s="3179" t="s">
        <v>3055</v>
      </c>
      <c r="C17" s="3179" t="s">
        <v>3056</v>
      </c>
      <c r="D17" s="3179">
        <v>36946.26</v>
      </c>
      <c r="E17" s="3179">
        <v>73892.52</v>
      </c>
      <c r="F17" s="3179" t="s">
        <v>3064</v>
      </c>
      <c r="G17" s="3179" t="s">
        <v>3058</v>
      </c>
      <c r="H17" s="3179" t="s">
        <v>3097</v>
      </c>
      <c r="I17" s="3179">
        <v>7218</v>
      </c>
      <c r="J17" s="3179">
        <v>7218</v>
      </c>
      <c r="K17" s="3179">
        <v>976.82</v>
      </c>
      <c r="L17" s="3179">
        <v>0</v>
      </c>
      <c r="M17" s="3179" t="s">
        <v>3071</v>
      </c>
      <c r="N17" s="3179" t="s">
        <v>3067</v>
      </c>
    </row>
    <row r="18" spans="1:14">
      <c r="A18" s="3179" t="s">
        <v>3098</v>
      </c>
      <c r="B18" s="3179" t="s">
        <v>3055</v>
      </c>
      <c r="C18" s="3179" t="s">
        <v>3056</v>
      </c>
      <c r="D18" s="3179">
        <v>32623.83</v>
      </c>
      <c r="E18" s="3179">
        <v>65247.66</v>
      </c>
      <c r="F18" s="3179" t="s">
        <v>3064</v>
      </c>
      <c r="G18" s="3179" t="s">
        <v>3058</v>
      </c>
      <c r="H18" s="3179" t="s">
        <v>3099</v>
      </c>
      <c r="I18" s="3179">
        <v>4906</v>
      </c>
      <c r="J18" s="3179">
        <v>4906</v>
      </c>
      <c r="K18" s="3179">
        <v>751.89</v>
      </c>
      <c r="L18" s="3179">
        <v>0</v>
      </c>
      <c r="M18" s="3179" t="s">
        <v>3100</v>
      </c>
      <c r="N18" s="3179" t="s">
        <v>3067</v>
      </c>
    </row>
    <row r="19" spans="1:14">
      <c r="A19" s="3179" t="s">
        <v>3101</v>
      </c>
      <c r="B19" s="3179" t="s">
        <v>3055</v>
      </c>
      <c r="C19" s="3179" t="s">
        <v>3056</v>
      </c>
      <c r="D19" s="3179">
        <v>29705.3</v>
      </c>
      <c r="E19" s="3179">
        <v>44557.95</v>
      </c>
      <c r="F19" s="3179" t="s">
        <v>3102</v>
      </c>
      <c r="G19" s="3179" t="s">
        <v>3058</v>
      </c>
      <c r="H19" s="3179" t="s">
        <v>3103</v>
      </c>
      <c r="I19" s="3179">
        <v>3575</v>
      </c>
      <c r="J19" s="3179">
        <v>3575</v>
      </c>
      <c r="K19" s="3179">
        <v>802.33</v>
      </c>
      <c r="L19" s="3179">
        <v>0</v>
      </c>
      <c r="M19" s="3179" t="s">
        <v>3104</v>
      </c>
      <c r="N19" s="3179" t="s">
        <v>3086</v>
      </c>
    </row>
    <row r="20" spans="1:14">
      <c r="A20" s="3179" t="s">
        <v>3105</v>
      </c>
      <c r="B20" s="3179" t="s">
        <v>3055</v>
      </c>
      <c r="C20" s="3179" t="s">
        <v>3056</v>
      </c>
      <c r="D20" s="3179">
        <v>18498.900000000001</v>
      </c>
      <c r="E20" s="3179">
        <v>27748.35</v>
      </c>
      <c r="F20" s="3179" t="s">
        <v>3102</v>
      </c>
      <c r="G20" s="3179" t="s">
        <v>3058</v>
      </c>
      <c r="H20" s="3179" t="s">
        <v>3106</v>
      </c>
      <c r="I20" s="3179">
        <v>2228</v>
      </c>
      <c r="J20" s="3179">
        <v>2228</v>
      </c>
      <c r="K20" s="3179">
        <v>802.92</v>
      </c>
      <c r="L20" s="3179">
        <v>0</v>
      </c>
      <c r="M20" s="3179" t="s">
        <v>3104</v>
      </c>
      <c r="N20" s="3179" t="s">
        <v>3067</v>
      </c>
    </row>
    <row r="21" spans="1:14">
      <c r="A21" s="3179" t="s">
        <v>3107</v>
      </c>
      <c r="B21" s="3179" t="s">
        <v>3055</v>
      </c>
      <c r="C21" s="3179" t="s">
        <v>3056</v>
      </c>
      <c r="D21" s="3179">
        <v>41765.699999999997</v>
      </c>
      <c r="E21" s="3179">
        <v>125297.1</v>
      </c>
      <c r="F21" s="3179" t="s">
        <v>3079</v>
      </c>
      <c r="G21" s="3179" t="s">
        <v>3058</v>
      </c>
      <c r="H21" s="3179" t="s">
        <v>3106</v>
      </c>
      <c r="I21" s="3179">
        <v>9412</v>
      </c>
      <c r="J21" s="3179">
        <v>9412</v>
      </c>
      <c r="K21" s="3179">
        <v>751.16</v>
      </c>
      <c r="L21" s="3179">
        <v>0</v>
      </c>
      <c r="M21" s="3179" t="s">
        <v>3108</v>
      </c>
      <c r="N21" s="3179" t="s">
        <v>3067</v>
      </c>
    </row>
    <row r="22" spans="1:14">
      <c r="A22" s="3179" t="s">
        <v>3109</v>
      </c>
      <c r="B22" s="3179" t="s">
        <v>3055</v>
      </c>
      <c r="C22" s="3179" t="s">
        <v>3056</v>
      </c>
      <c r="D22" s="3179">
        <v>34757.599999999999</v>
      </c>
      <c r="E22" s="3179">
        <v>86894</v>
      </c>
      <c r="F22" s="3179" t="s">
        <v>3110</v>
      </c>
      <c r="G22" s="3179" t="s">
        <v>3058</v>
      </c>
      <c r="H22" s="3179" t="s">
        <v>3106</v>
      </c>
      <c r="I22" s="3179">
        <v>7834</v>
      </c>
      <c r="J22" s="3179">
        <v>7834</v>
      </c>
      <c r="K22" s="3179">
        <v>901.55</v>
      </c>
      <c r="L22" s="3179">
        <v>0</v>
      </c>
      <c r="M22" s="3179" t="s">
        <v>3111</v>
      </c>
      <c r="N22" s="3179" t="s">
        <v>3067</v>
      </c>
    </row>
    <row r="23" spans="1:14">
      <c r="A23" s="3179" t="s">
        <v>3112</v>
      </c>
      <c r="B23" s="3179" t="s">
        <v>3055</v>
      </c>
      <c r="C23" s="3179" t="s">
        <v>3056</v>
      </c>
      <c r="D23" s="3179">
        <v>23264.400000000001</v>
      </c>
      <c r="E23" s="3179">
        <v>72119.64</v>
      </c>
      <c r="F23" s="3179" t="s">
        <v>3113</v>
      </c>
      <c r="G23" s="3179" t="s">
        <v>3058</v>
      </c>
      <c r="H23" s="3179" t="s">
        <v>3106</v>
      </c>
      <c r="I23" s="3179">
        <v>7448</v>
      </c>
      <c r="J23" s="3179">
        <v>7448</v>
      </c>
      <c r="K23" s="3179">
        <v>1032.73</v>
      </c>
      <c r="L23" s="3179">
        <v>0</v>
      </c>
      <c r="M23" s="3179" t="s">
        <v>3114</v>
      </c>
      <c r="N23" s="3179" t="s">
        <v>3061</v>
      </c>
    </row>
    <row r="24" spans="1:14">
      <c r="A24" s="3179" t="s">
        <v>3115</v>
      </c>
      <c r="B24" s="3179" t="s">
        <v>3055</v>
      </c>
      <c r="C24" s="3179" t="s">
        <v>3056</v>
      </c>
      <c r="D24" s="3179">
        <v>40850.1</v>
      </c>
      <c r="E24" s="3179">
        <v>89870.22</v>
      </c>
      <c r="F24" s="3179" t="s">
        <v>3057</v>
      </c>
      <c r="G24" s="3179" t="s">
        <v>3058</v>
      </c>
      <c r="H24" s="3179" t="s">
        <v>3106</v>
      </c>
      <c r="I24" s="3179">
        <v>9206</v>
      </c>
      <c r="J24" s="3179">
        <v>9206</v>
      </c>
      <c r="K24" s="3179">
        <v>1024.3599999999999</v>
      </c>
      <c r="L24" s="3179">
        <v>0</v>
      </c>
      <c r="M24" s="3179" t="s">
        <v>3116</v>
      </c>
      <c r="N24" s="3179" t="s">
        <v>3067</v>
      </c>
    </row>
    <row r="25" spans="1:14">
      <c r="A25" s="3179" t="s">
        <v>3115</v>
      </c>
      <c r="B25" s="3179" t="s">
        <v>3055</v>
      </c>
      <c r="C25" s="3179" t="s">
        <v>3056</v>
      </c>
      <c r="D25" s="3179">
        <v>41505.800000000003</v>
      </c>
      <c r="E25" s="3179">
        <v>91312.76</v>
      </c>
      <c r="F25" s="3179" t="s">
        <v>3057</v>
      </c>
      <c r="G25" s="3179" t="s">
        <v>3058</v>
      </c>
      <c r="H25" s="3179" t="s">
        <v>3106</v>
      </c>
      <c r="I25" s="3179">
        <v>9354</v>
      </c>
      <c r="J25" s="3179">
        <v>9554</v>
      </c>
      <c r="K25" s="3179">
        <v>1046.28</v>
      </c>
      <c r="L25" s="3179">
        <v>2.14</v>
      </c>
      <c r="M25" s="3179" t="s">
        <v>3116</v>
      </c>
      <c r="N25" s="3179" t="s">
        <v>3067</v>
      </c>
    </row>
    <row r="26" spans="1:14">
      <c r="A26" s="3179" t="s">
        <v>3117</v>
      </c>
      <c r="B26" s="3179" t="s">
        <v>3055</v>
      </c>
      <c r="C26" s="3179" t="s">
        <v>3056</v>
      </c>
      <c r="D26" s="3179">
        <v>5983.3</v>
      </c>
      <c r="E26" s="3179">
        <v>9573.2800000000007</v>
      </c>
      <c r="F26" s="3179" t="s">
        <v>3084</v>
      </c>
      <c r="G26" s="3179" t="s">
        <v>3058</v>
      </c>
      <c r="H26" s="3179" t="s">
        <v>3118</v>
      </c>
      <c r="I26" s="3179">
        <v>543</v>
      </c>
      <c r="J26" s="3179">
        <v>543</v>
      </c>
      <c r="K26" s="3179">
        <v>567.20000000000005</v>
      </c>
      <c r="L26" s="3179">
        <v>0</v>
      </c>
      <c r="M26" s="3179" t="s">
        <v>3119</v>
      </c>
      <c r="N26" s="3179" t="s">
        <v>3086</v>
      </c>
    </row>
    <row r="27" spans="1:14">
      <c r="A27" s="3179" t="s">
        <v>3120</v>
      </c>
      <c r="B27" s="3179" t="s">
        <v>3055</v>
      </c>
      <c r="C27" s="3179" t="s">
        <v>3056</v>
      </c>
      <c r="D27" s="3179">
        <v>44547.54</v>
      </c>
      <c r="E27" s="3179">
        <v>71276.06</v>
      </c>
      <c r="F27" s="3179" t="s">
        <v>3121</v>
      </c>
      <c r="G27" s="3179" t="s">
        <v>3058</v>
      </c>
      <c r="H27" s="3179" t="s">
        <v>3122</v>
      </c>
      <c r="I27" s="3179">
        <v>9990</v>
      </c>
      <c r="J27" s="3179">
        <v>9990</v>
      </c>
      <c r="K27" s="3179">
        <v>1401.58</v>
      </c>
      <c r="L27" s="3179">
        <v>0</v>
      </c>
      <c r="M27" s="3179" t="s">
        <v>3123</v>
      </c>
      <c r="N27" s="3179" t="s">
        <v>3061</v>
      </c>
    </row>
    <row r="28" spans="1:14">
      <c r="A28" s="3179" t="s">
        <v>3124</v>
      </c>
      <c r="B28" s="3179" t="s">
        <v>3055</v>
      </c>
      <c r="C28" s="3179" t="s">
        <v>3056</v>
      </c>
      <c r="D28" s="3179">
        <v>46426.38</v>
      </c>
      <c r="E28" s="3179">
        <v>74282.210000000006</v>
      </c>
      <c r="F28" s="3179" t="s">
        <v>3121</v>
      </c>
      <c r="G28" s="3179" t="s">
        <v>3058</v>
      </c>
      <c r="H28" s="3179" t="s">
        <v>3122</v>
      </c>
      <c r="I28" s="3179">
        <v>10260</v>
      </c>
      <c r="J28" s="3179">
        <v>19520</v>
      </c>
      <c r="K28" s="3179">
        <v>2627.82</v>
      </c>
      <c r="L28" s="3179">
        <v>90.25</v>
      </c>
      <c r="M28" s="3179" t="s">
        <v>3123</v>
      </c>
      <c r="N28" s="3179" t="s">
        <v>3061</v>
      </c>
    </row>
    <row r="29" spans="1:14">
      <c r="A29" s="3179" t="s">
        <v>3075</v>
      </c>
      <c r="B29" s="3179" t="s">
        <v>3055</v>
      </c>
      <c r="C29" s="3179" t="s">
        <v>3056</v>
      </c>
      <c r="D29" s="3179">
        <v>61599.8</v>
      </c>
      <c r="E29" s="3179">
        <v>135519.56</v>
      </c>
      <c r="F29" s="3179" t="s">
        <v>3057</v>
      </c>
      <c r="G29" s="3179" t="s">
        <v>3058</v>
      </c>
      <c r="H29" s="3179" t="s">
        <v>3125</v>
      </c>
      <c r="I29" s="3179">
        <v>11570</v>
      </c>
      <c r="J29" s="3179">
        <v>11570</v>
      </c>
      <c r="K29" s="3179">
        <v>853.75</v>
      </c>
      <c r="L29" s="3179">
        <v>0</v>
      </c>
      <c r="M29" s="3179" t="s">
        <v>3077</v>
      </c>
      <c r="N29" s="3179" t="s">
        <v>3067</v>
      </c>
    </row>
    <row r="30" spans="1:14">
      <c r="A30" s="3179" t="s">
        <v>3126</v>
      </c>
      <c r="B30" s="3179" t="s">
        <v>3055</v>
      </c>
      <c r="C30" s="3179" t="s">
        <v>3056</v>
      </c>
      <c r="D30" s="3179">
        <v>57644</v>
      </c>
      <c r="E30" s="3179">
        <v>115288</v>
      </c>
      <c r="F30" s="3179" t="s">
        <v>3064</v>
      </c>
      <c r="G30" s="3179" t="s">
        <v>3058</v>
      </c>
      <c r="H30" s="3179" t="s">
        <v>3127</v>
      </c>
      <c r="I30" s="3179">
        <v>8664</v>
      </c>
      <c r="J30" s="3179">
        <v>8664</v>
      </c>
      <c r="K30" s="3179">
        <v>751.5</v>
      </c>
      <c r="L30" s="3179">
        <v>0</v>
      </c>
      <c r="M30" s="3179" t="s">
        <v>3128</v>
      </c>
      <c r="N30" s="3179" t="s">
        <v>3067</v>
      </c>
    </row>
    <row r="31" spans="1:14">
      <c r="A31" s="3179" t="s">
        <v>3126</v>
      </c>
      <c r="B31" s="3179" t="s">
        <v>3055</v>
      </c>
      <c r="C31" s="3179" t="s">
        <v>3056</v>
      </c>
      <c r="D31" s="3179">
        <v>52109.599999999999</v>
      </c>
      <c r="E31" s="3179">
        <v>104219.2</v>
      </c>
      <c r="F31" s="3179" t="s">
        <v>3064</v>
      </c>
      <c r="G31" s="3179" t="s">
        <v>3058</v>
      </c>
      <c r="H31" s="3179" t="s">
        <v>3127</v>
      </c>
      <c r="I31" s="3179">
        <v>7834</v>
      </c>
      <c r="J31" s="3179">
        <v>7834</v>
      </c>
      <c r="K31" s="3179">
        <v>751.67</v>
      </c>
      <c r="L31" s="3179">
        <v>0</v>
      </c>
      <c r="M31" s="3179" t="s">
        <v>3128</v>
      </c>
      <c r="N31" s="3179" t="s">
        <v>3067</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workbookViewId="0">
      <selection activeCell="O27" sqref="O27"/>
    </sheetView>
  </sheetViews>
  <sheetFormatPr defaultRowHeight="13.5"/>
  <sheetData>
    <row r="2" spans="13:16">
      <c r="N2" s="3176" t="s">
        <v>3167</v>
      </c>
      <c r="O2" s="3176" t="s">
        <v>3168</v>
      </c>
      <c r="P2" s="3176" t="s">
        <v>3169</v>
      </c>
    </row>
    <row r="3" spans="13:16">
      <c r="M3" s="3176" t="s">
        <v>3166</v>
      </c>
      <c r="N3">
        <v>2.4700000000000002</v>
      </c>
      <c r="O3">
        <v>640000</v>
      </c>
      <c r="P3">
        <v>4800</v>
      </c>
    </row>
    <row r="4" spans="13:16">
      <c r="M4" s="3176" t="s">
        <v>3170</v>
      </c>
      <c r="N4">
        <v>2.61</v>
      </c>
      <c r="O4">
        <v>500000</v>
      </c>
      <c r="P4">
        <v>5000</v>
      </c>
    </row>
    <row r="5" spans="13:16">
      <c r="M5" s="3176" t="s">
        <v>3171</v>
      </c>
      <c r="N5">
        <v>2.17</v>
      </c>
      <c r="O5">
        <v>304800</v>
      </c>
      <c r="P5">
        <v>5100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2035</v>
      </c>
      <c r="B1" s="3235"/>
      <c r="C1" s="3235"/>
      <c r="D1" s="3235"/>
      <c r="E1" s="3235"/>
      <c r="F1" s="3235"/>
      <c r="G1" s="3235"/>
      <c r="H1" s="3235"/>
      <c r="I1" s="3235"/>
      <c r="J1" s="3235"/>
      <c r="K1" s="3235"/>
      <c r="L1" s="3235"/>
      <c r="M1" s="3235"/>
      <c r="N1" s="3235"/>
      <c r="O1" s="3235"/>
      <c r="P1" s="3235"/>
      <c r="Q1" s="3235"/>
      <c r="R1" s="3235"/>
    </row>
    <row r="2" spans="1:18">
      <c r="A2" s="1789" t="s">
        <v>2037</v>
      </c>
      <c r="B2" s="1789"/>
      <c r="C2" s="1789"/>
      <c r="D2" s="1789"/>
      <c r="E2" s="1789"/>
      <c r="F2" s="1789"/>
      <c r="G2" s="1789"/>
      <c r="H2" s="1789"/>
      <c r="I2" s="1790"/>
      <c r="J2" s="1790"/>
      <c r="K2" s="1791" t="str">
        <f>"估价期日："&amp;TEXT(项目基本情况!D3,"yyyy年m月d日;;")</f>
        <v>估价期日：2020年4月14日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6" t="s">
        <v>2026</v>
      </c>
      <c r="B3" s="3236" t="s">
        <v>2727</v>
      </c>
      <c r="C3" s="3237" t="s">
        <v>2027</v>
      </c>
      <c r="D3" s="3236" t="s">
        <v>2731</v>
      </c>
      <c r="E3" s="3231" t="s">
        <v>2028</v>
      </c>
      <c r="F3" s="3231"/>
      <c r="G3" s="3231"/>
      <c r="H3" s="3231" t="s">
        <v>2029</v>
      </c>
      <c r="I3" s="3231"/>
      <c r="J3" s="3231"/>
      <c r="K3" s="3237" t="s">
        <v>2030</v>
      </c>
      <c r="L3" s="3237" t="s">
        <v>2031</v>
      </c>
      <c r="M3" s="3236" t="s">
        <v>2728</v>
      </c>
      <c r="N3" s="3238" t="str">
        <f>"（分摊）"&amp;项目基本情况!B16&amp;"国有建设用地使用权面积/㎡"</f>
        <v>（分摊）出让国有建设用地使用权面积/㎡</v>
      </c>
      <c r="O3" s="3236" t="s">
        <v>2060</v>
      </c>
      <c r="P3" s="3237" t="s">
        <v>2040</v>
      </c>
      <c r="Q3" s="3237" t="s">
        <v>2061</v>
      </c>
      <c r="R3" s="3237" t="s">
        <v>2032</v>
      </c>
    </row>
    <row r="4" spans="1:18" ht="36.75" customHeight="1">
      <c r="A4" s="3236"/>
      <c r="B4" s="3236"/>
      <c r="C4" s="3237"/>
      <c r="D4" s="3236"/>
      <c r="E4" s="2610" t="s">
        <v>2039</v>
      </c>
      <c r="F4" s="2610" t="s">
        <v>2740</v>
      </c>
      <c r="G4" s="2610" t="s">
        <v>2033</v>
      </c>
      <c r="H4" s="2610" t="s">
        <v>2034</v>
      </c>
      <c r="I4" s="2610" t="s">
        <v>2741</v>
      </c>
      <c r="J4" s="2610" t="s">
        <v>2033</v>
      </c>
      <c r="K4" s="3237"/>
      <c r="L4" s="3237"/>
      <c r="M4" s="3236"/>
      <c r="N4" s="3238"/>
      <c r="O4" s="3236"/>
      <c r="P4" s="3237"/>
      <c r="Q4" s="3237"/>
      <c r="R4" s="3237"/>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68319.509999999995</v>
      </c>
      <c r="O5" s="1792">
        <f>项目基本情况!C21</f>
        <v>145126.41</v>
      </c>
      <c r="P5" s="1792">
        <f ca="1">结果表!E42</f>
        <v>1870</v>
      </c>
      <c r="Q5" s="1792">
        <f ca="1">结果表!D42</f>
        <v>880</v>
      </c>
      <c r="R5" s="1793">
        <f ca="1">结果表!C42</f>
        <v>12776</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794">
        <f ca="1">结果表!O39</f>
        <v>12776</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794"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0" t="s">
        <v>2062</v>
      </c>
      <c r="B1" s="3240"/>
      <c r="C1" s="3240"/>
      <c r="D1" s="3240"/>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39" t="s">
        <v>2063</v>
      </c>
      <c r="B5" s="3239"/>
      <c r="C5" s="3239"/>
      <c r="D5" s="3239"/>
    </row>
    <row r="6" spans="1:4">
      <c r="A6" s="3240" t="s">
        <v>2041</v>
      </c>
      <c r="B6" s="3240"/>
      <c r="C6" s="3240"/>
      <c r="D6" s="3240"/>
    </row>
    <row r="7" spans="1:4" ht="33" customHeight="1">
      <c r="A7" s="3240" t="s">
        <v>2571</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39" t="s">
        <v>2065</v>
      </c>
      <c r="B12" s="3239"/>
      <c r="C12" s="3239"/>
      <c r="D12" s="3239"/>
    </row>
    <row r="13" spans="1:4">
      <c r="A13" s="3243" t="s">
        <v>2742</v>
      </c>
      <c r="B13" s="3243"/>
      <c r="C13" s="3243"/>
      <c r="D13" s="3243"/>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2698</v>
      </c>
      <c r="B17" s="3240"/>
      <c r="C17" s="3240"/>
      <c r="D17" s="3240"/>
    </row>
    <row r="18" spans="1:4">
      <c r="A18" s="3240" t="s">
        <v>2690</v>
      </c>
      <c r="B18" s="3240"/>
      <c r="C18" s="3240"/>
      <c r="D18" s="3240"/>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40" t="s">
        <v>2695</v>
      </c>
      <c r="B23" s="3240"/>
      <c r="C23" s="3240"/>
      <c r="D23" s="3240"/>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51" t="s">
        <v>53</v>
      </c>
      <c r="B15" s="3252" t="s">
        <v>846</v>
      </c>
      <c r="C15" s="3248"/>
    </row>
    <row r="16" spans="1:7" ht="14.25">
      <c r="A16" s="3251"/>
      <c r="B16" s="3249" t="s">
        <v>54</v>
      </c>
      <c r="C16" s="1165" t="s">
        <v>53</v>
      </c>
    </row>
    <row r="17" spans="1:3" ht="14.25">
      <c r="A17" s="3251"/>
      <c r="B17" s="3249"/>
      <c r="C17" s="1165" t="s">
        <v>55</v>
      </c>
    </row>
    <row r="18" spans="1:3" ht="14.25">
      <c r="A18" s="3251"/>
      <c r="B18" s="3249"/>
      <c r="C18" s="1165" t="s">
        <v>56</v>
      </c>
    </row>
    <row r="19" spans="1:3" ht="14.25">
      <c r="A19" s="3251"/>
      <c r="B19" s="3247" t="s">
        <v>57</v>
      </c>
      <c r="C19" s="3248"/>
    </row>
    <row r="20" spans="1:3" ht="14.25">
      <c r="A20" s="1166" t="s">
        <v>58</v>
      </c>
      <c r="B20" s="1167"/>
      <c r="C20" s="1168"/>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69" t="s">
        <v>837</v>
      </c>
    </row>
    <row r="25" spans="1:3" ht="14.25">
      <c r="A25" s="3250"/>
      <c r="B25" s="3254"/>
      <c r="C25" s="1169" t="s">
        <v>838</v>
      </c>
    </row>
    <row r="26" spans="1:3" ht="14.25">
      <c r="A26" s="3250"/>
      <c r="B26" s="3254"/>
      <c r="C26" s="1169" t="s">
        <v>839</v>
      </c>
    </row>
    <row r="27" spans="1:3" ht="14.25">
      <c r="A27" s="3250"/>
      <c r="B27" s="3254"/>
      <c r="C27" s="1169" t="s">
        <v>840</v>
      </c>
    </row>
    <row r="28" spans="1:3" ht="14.25">
      <c r="A28" s="3250"/>
      <c r="B28" s="3254"/>
      <c r="C28" s="1169" t="s">
        <v>841</v>
      </c>
    </row>
    <row r="29" spans="1:3" ht="14.25">
      <c r="A29" s="3250"/>
      <c r="B29" s="3254"/>
      <c r="C29" s="1169" t="s">
        <v>842</v>
      </c>
    </row>
    <row r="30" spans="1:3" ht="14.25">
      <c r="A30" s="3250"/>
      <c r="B30" s="3254"/>
      <c r="C30" s="1169" t="s">
        <v>843</v>
      </c>
    </row>
    <row r="31" spans="1:3" ht="14.25">
      <c r="A31" s="3250"/>
      <c r="B31" s="3254"/>
      <c r="C31" s="1169" t="s">
        <v>844</v>
      </c>
    </row>
    <row r="32" spans="1:3" ht="14.25">
      <c r="A32" s="3250"/>
      <c r="B32" s="3254"/>
      <c r="C32" s="1169" t="s">
        <v>1646</v>
      </c>
    </row>
    <row r="33" spans="1:3" ht="14.25">
      <c r="A33" s="3250"/>
      <c r="B33" s="3244" t="s">
        <v>1652</v>
      </c>
      <c r="C33" s="1169" t="s">
        <v>1647</v>
      </c>
    </row>
    <row r="34" spans="1:3" ht="14.25">
      <c r="A34" s="3250"/>
      <c r="B34" s="3245"/>
      <c r="C34" s="1174" t="s">
        <v>1648</v>
      </c>
    </row>
    <row r="35" spans="1:3" ht="14.25">
      <c r="A35" s="3250"/>
      <c r="B35" s="3245"/>
      <c r="C35" s="1175" t="s">
        <v>1649</v>
      </c>
    </row>
    <row r="36" spans="1:3" ht="14.25">
      <c r="A36" s="3250"/>
      <c r="B36" s="3245"/>
      <c r="C36" s="1175" t="s">
        <v>1650</v>
      </c>
    </row>
    <row r="37" spans="1:3" ht="14.25">
      <c r="A37" s="3250"/>
      <c r="B37" s="3246"/>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43971</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55" t="s">
        <v>1923</v>
      </c>
      <c r="B25" s="3255"/>
      <c r="C25" s="3255"/>
      <c r="D25" s="3255"/>
      <c r="E25" s="3255"/>
      <c r="F25" s="3255"/>
      <c r="G25" s="3255"/>
    </row>
    <row r="26" spans="1:7" ht="20.25" customHeight="1">
      <c r="A26" s="3256" t="s">
        <v>1924</v>
      </c>
      <c r="B26" s="3256"/>
      <c r="C26" s="3256"/>
      <c r="D26" s="3256" t="s">
        <v>1925</v>
      </c>
      <c r="E26" s="3256"/>
      <c r="F26" s="3256"/>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3149</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57"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14日，在规划利用条件下、设定土地开发程度为红线外“七通”、宗地内场地，设定用途为，剩余土地使用年限为的出让国有建设用地使用权价格。</v>
      </c>
      <c r="D53" s="1749"/>
      <c r="E53" s="1749"/>
    </row>
    <row r="54" spans="1:5">
      <c r="A54" s="3257"/>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7"/>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7"/>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7"/>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143</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Sheet1</vt:lpstr>
      <vt:lpstr>Sheet3</vt:lpstr>
      <vt:lpstr>Sheet4</vt:lpstr>
      <vt:lpstr>Sheet2!_Toc38621653</vt:lpstr>
      <vt:lpstr>Sheet2!_Toc38621657</vt:lpstr>
      <vt:lpstr>Sheet2!_Toc38621659</vt:lpstr>
      <vt:lpstr>Sheet2!_Toc38621665</vt:lpstr>
      <vt:lpstr>Sheet2!_Toc38621689</vt:lpstr>
      <vt:lpstr>Sheet2!_Toc38621690</vt:lpstr>
      <vt:lpstr>Sheet2!_Toc38621691</vt:lpstr>
      <vt:lpstr>Sheet2!_Toc38621692</vt:lpstr>
      <vt:lpstr>Sheet2!_Toc38621693</vt:lpstr>
      <vt:lpstr>Sheet2!_Toc38621694</vt:lpstr>
      <vt:lpstr>Sheet2!_Toc38621695</vt:lpstr>
      <vt:lpstr>Sheet2!_Toc38621696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2020-05-20T03:03:17Z</dcterms:modified>
</cp:coreProperties>
</file>