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D:\桌面\首开东都汇\"/>
    </mc:Choice>
  </mc:AlternateContent>
  <xr:revisionPtr revIDLastSave="0" documentId="13_ncr:1_{386476BF-6C2E-432E-9FBB-DCF71CE8DCB4}" xr6:coauthVersionLast="47" xr6:coauthVersionMax="47" xr10:uidLastSave="{00000000-0000-0000-0000-000000000000}"/>
  <bookViews>
    <workbookView xWindow="-120" yWindow="-120" windowWidth="19440" windowHeight="15000" tabRatio="885" firstSheet="9" activeTab="22"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比较法-办公" sheetId="34" r:id="rId17"/>
    <sheet name="案例" sheetId="64" r:id="rId18"/>
    <sheet name="成本法" sheetId="11" state="hidden" r:id="rId19"/>
    <sheet name="假设开发法" sheetId="12" state="hidden" r:id="rId20"/>
    <sheet name="基准地价修正" sheetId="43" state="hidden" r:id="rId21"/>
    <sheet name="收益法" sheetId="15" r:id="rId22"/>
    <sheet name="典型户型修正" sheetId="31" r:id="rId23"/>
    <sheet name="收益法-酒店模型" sheetId="63" r:id="rId24"/>
    <sheet name="比较法-住宅" sheetId="21" r:id="rId25"/>
    <sheet name="比较法-商业" sheetId="33" r:id="rId26"/>
    <sheet name="比较法-工业" sheetId="37" r:id="rId27"/>
    <sheet name="比较法-车位" sheetId="35" r:id="rId28"/>
    <sheet name="比较法-仓储" sheetId="36" r:id="rId29"/>
    <sheet name="土地比较法-住宅、综合" sheetId="39" r:id="rId30"/>
    <sheet name="土地比较法-工业" sheetId="40"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r:id="rId38"/>
  </sheets>
  <externalReferences>
    <externalReference r:id="rId39"/>
  </externalReferences>
  <definedNames>
    <definedName name="_xlnm._FilterDatabase" localSheetId="16"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16">'比较法-办公'!$A$1:$K$55,'比较法-办公'!$A$58:$M$132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2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3">[1]定义!$D$1:$D$4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8" i="31" l="1"/>
  <c r="D8" i="31"/>
  <c r="E8" i="31"/>
  <c r="F8" i="31"/>
  <c r="G8" i="31"/>
  <c r="H8" i="31"/>
  <c r="I8" i="31"/>
  <c r="J8" i="31"/>
  <c r="K8" i="31"/>
  <c r="C8" i="31"/>
  <c r="I28" i="34"/>
  <c r="G28" i="34"/>
  <c r="E28" i="34"/>
  <c r="D3" i="64" l="1"/>
  <c r="D4" i="64"/>
  <c r="D2" i="64"/>
  <c r="I48" i="34"/>
  <c r="G48" i="34"/>
  <c r="I34" i="34"/>
  <c r="G34" i="34"/>
  <c r="E34" i="34"/>
  <c r="C34" i="34"/>
  <c r="I37" i="34"/>
  <c r="G37" i="34"/>
  <c r="E37" i="34"/>
  <c r="C37" i="34"/>
  <c r="I7" i="34"/>
  <c r="G7" i="34"/>
  <c r="E7" i="34"/>
  <c r="D14" i="57"/>
  <c r="D29" i="43"/>
  <c r="D5" i="64" l="1"/>
  <c r="E48" i="34"/>
  <c r="G60" i="43"/>
  <c r="G61" i="43"/>
  <c r="G62" i="43"/>
  <c r="G63" i="43"/>
  <c r="G64" i="43"/>
  <c r="G65" i="43"/>
  <c r="G66" i="43"/>
  <c r="G67" i="43"/>
  <c r="G59" i="43"/>
  <c r="G20" i="1"/>
  <c r="C12" i="1"/>
  <c r="C12" i="4"/>
  <c r="D2" i="4"/>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5" i="59"/>
  <c r="AG5" i="59"/>
  <c r="AE5" i="59"/>
  <c r="AF5" i="59" s="1"/>
  <c r="AD5" i="59"/>
  <c r="Q5" i="59"/>
  <c r="P5" i="59"/>
  <c r="O5" i="59"/>
  <c r="N5" i="59"/>
  <c r="R25" i="63" l="1"/>
  <c r="R19" i="63"/>
  <c r="E26" i="63"/>
  <c r="E38" i="63"/>
  <c r="E39" i="63" s="1"/>
  <c r="C40" i="63" s="1"/>
  <c r="E29" i="63"/>
  <c r="E32" i="63" s="1"/>
  <c r="AH6" i="59"/>
  <c r="AG6" i="59"/>
  <c r="AE6" i="59"/>
  <c r="AF6" i="59" s="1"/>
  <c r="AD6" i="59"/>
  <c r="Q6" i="59"/>
  <c r="P6" i="59"/>
  <c r="O6" i="59"/>
  <c r="N6" i="59"/>
  <c r="R5" i="63" l="1"/>
  <c r="U5" i="63" s="1"/>
  <c r="C41" i="63"/>
  <c r="B2" i="63"/>
  <c r="B3" i="63" s="1"/>
  <c r="E20" i="43"/>
  <c r="AH7" i="59" l="1"/>
  <c r="AG7" i="59"/>
  <c r="AE7" i="59"/>
  <c r="AF7" i="59" s="1"/>
  <c r="AD7" i="59"/>
  <c r="Q7" i="59"/>
  <c r="P7" i="59"/>
  <c r="O7" i="59"/>
  <c r="N7" i="59"/>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s="1"/>
  <c r="AD13" i="59"/>
  <c r="Q14" i="59"/>
  <c r="Q15" i="59"/>
  <c r="P14" i="59"/>
  <c r="P15" i="59"/>
  <c r="AH14" i="59"/>
  <c r="AG14" i="59"/>
  <c r="AE14" i="59"/>
  <c r="AF14" i="59"/>
  <c r="AD14" i="59"/>
  <c r="M15" i="45"/>
  <c r="L15" i="45"/>
  <c r="K15" i="45"/>
  <c r="J15" i="45"/>
  <c r="I15" i="45"/>
  <c r="H15" i="45"/>
  <c r="G15" i="45"/>
  <c r="F15" i="45"/>
  <c r="E15" i="45"/>
  <c r="D15" i="45"/>
  <c r="C15" i="45"/>
  <c r="B15" i="45"/>
  <c r="AH15" i="59"/>
  <c r="AG15" i="59"/>
  <c r="AE15" i="59"/>
  <c r="AF15" i="59" s="1"/>
  <c r="AD15" i="59"/>
  <c r="AH16" i="59"/>
  <c r="AG16" i="59"/>
  <c r="AE16" i="59"/>
  <c r="AF16" i="59"/>
  <c r="AD16" i="59"/>
  <c r="Q16" i="59"/>
  <c r="P16" i="59"/>
  <c r="O16" i="59"/>
  <c r="N16" i="59"/>
  <c r="L3" i="59"/>
  <c r="AH3" i="59" s="1"/>
  <c r="K3" i="59"/>
  <c r="AG3" i="59" s="1"/>
  <c r="J3" i="59"/>
  <c r="AE3" i="59" s="1"/>
  <c r="I3" i="59"/>
  <c r="AD3" i="59" s="1"/>
  <c r="AH17" i="59"/>
  <c r="AG17" i="59"/>
  <c r="AE17" i="59"/>
  <c r="AF17" i="59" s="1"/>
  <c r="AD17" i="59"/>
  <c r="Q17" i="59"/>
  <c r="Q18" i="59"/>
  <c r="P17" i="59"/>
  <c r="P18" i="59"/>
  <c r="O17" i="59"/>
  <c r="O18" i="59"/>
  <c r="N17" i="59"/>
  <c r="N18" i="59"/>
  <c r="N19" i="59"/>
  <c r="O19" i="59"/>
  <c r="P19" i="59"/>
  <c r="Q19" i="59"/>
  <c r="AD18" i="59"/>
  <c r="AE18" i="59"/>
  <c r="AF18" i="59"/>
  <c r="AG18" i="59"/>
  <c r="AH18" i="59"/>
  <c r="M48" i="15"/>
  <c r="B2" i="1"/>
  <c r="F30" i="1" s="1"/>
  <c r="B24" i="1"/>
  <c r="J50" i="15"/>
  <c r="J51" i="15"/>
  <c r="B26" i="1"/>
  <c r="AH19" i="59"/>
  <c r="AG19" i="59"/>
  <c r="AE19" i="59"/>
  <c r="AF19" i="59" s="1"/>
  <c r="AD19" i="59"/>
  <c r="AH20" i="59"/>
  <c r="AG20" i="59"/>
  <c r="AE20" i="59"/>
  <c r="AF20" i="59"/>
  <c r="AD20" i="59"/>
  <c r="Q20" i="59"/>
  <c r="F20" i="59" s="1"/>
  <c r="P20" i="59"/>
  <c r="O20" i="59"/>
  <c r="N20" i="59"/>
  <c r="Q21" i="59"/>
  <c r="P21" i="59"/>
  <c r="O21" i="59"/>
  <c r="N21" i="59"/>
  <c r="D21" i="59"/>
  <c r="E20" i="59"/>
  <c r="E19" i="59" s="1"/>
  <c r="E18" i="59" s="1"/>
  <c r="E17" i="59" s="1"/>
  <c r="E16" i="59" s="1"/>
  <c r="E15" i="59" s="1"/>
  <c r="E14" i="59" s="1"/>
  <c r="E13" i="59" s="1"/>
  <c r="E12" i="59" s="1"/>
  <c r="A2" i="50"/>
  <c r="K60" i="15"/>
  <c r="P59" i="15" s="1"/>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5" i="59"/>
  <c r="F84" i="59"/>
  <c r="F83" i="59" s="1"/>
  <c r="F82" i="59" s="1"/>
  <c r="E84" i="59"/>
  <c r="E83" i="59"/>
  <c r="E82" i="59" s="1"/>
  <c r="C84" i="59"/>
  <c r="D84" i="59" s="1"/>
  <c r="B84" i="59"/>
  <c r="B83" i="59" s="1"/>
  <c r="B82" i="59" s="1"/>
  <c r="D81" i="59"/>
  <c r="F80" i="59"/>
  <c r="F79" i="59" s="1"/>
  <c r="F78" i="59" s="1"/>
  <c r="E80" i="59"/>
  <c r="E79" i="59"/>
  <c r="E78" i="59" s="1"/>
  <c r="C80" i="59"/>
  <c r="D80" i="59" s="1"/>
  <c r="B80" i="59"/>
  <c r="B79" i="59" s="1"/>
  <c r="B78" i="59" s="1"/>
  <c r="D77" i="59"/>
  <c r="S76" i="59"/>
  <c r="Q76" i="59"/>
  <c r="P76" i="59"/>
  <c r="O76" i="59"/>
  <c r="N76" i="59"/>
  <c r="F76" i="59"/>
  <c r="V76" i="59"/>
  <c r="E76" i="59"/>
  <c r="U76" i="59"/>
  <c r="C76" i="59"/>
  <c r="T76" i="59"/>
  <c r="B76" i="59"/>
  <c r="Q75" i="59"/>
  <c r="P75" i="59"/>
  <c r="O75" i="59"/>
  <c r="N75" i="59"/>
  <c r="F75" i="59"/>
  <c r="F74" i="59" s="1"/>
  <c r="B75" i="59"/>
  <c r="B74" i="59" s="1"/>
  <c r="Q74" i="59"/>
  <c r="P74" i="59"/>
  <c r="O74" i="59"/>
  <c r="N74" i="59"/>
  <c r="Q73" i="59"/>
  <c r="P73" i="59"/>
  <c r="O73" i="59"/>
  <c r="N73" i="59"/>
  <c r="D73" i="59"/>
  <c r="Q72" i="59"/>
  <c r="P72" i="59"/>
  <c r="O72" i="59"/>
  <c r="N72" i="59"/>
  <c r="F72" i="59"/>
  <c r="V72" i="59" s="1"/>
  <c r="E72" i="59"/>
  <c r="U72" i="59" s="1"/>
  <c r="C72" i="59"/>
  <c r="T72" i="59" s="1"/>
  <c r="B72" i="59"/>
  <c r="S72" i="59" s="1"/>
  <c r="Q71" i="59"/>
  <c r="P71" i="59"/>
  <c r="O71" i="59"/>
  <c r="N71"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s="1"/>
  <c r="B67" i="59"/>
  <c r="B66" i="59" s="1"/>
  <c r="Q66" i="59"/>
  <c r="P66" i="59"/>
  <c r="O66" i="59"/>
  <c r="N66" i="59"/>
  <c r="Q65" i="59"/>
  <c r="P65" i="59"/>
  <c r="O65" i="59"/>
  <c r="N65" i="59"/>
  <c r="D65" i="59"/>
  <c r="S64" i="59"/>
  <c r="N64" i="59"/>
  <c r="F64" i="59"/>
  <c r="V64" i="59"/>
  <c r="E64" i="59"/>
  <c r="U64" i="59" s="1"/>
  <c r="E63" i="59"/>
  <c r="P63" i="59" s="1"/>
  <c r="C64" i="59"/>
  <c r="B64" i="59"/>
  <c r="F63" i="59"/>
  <c r="F62" i="59" s="1"/>
  <c r="Q62" i="59" s="1"/>
  <c r="B63" i="59"/>
  <c r="E62" i="59"/>
  <c r="P61" i="59" s="1"/>
  <c r="D61" i="59"/>
  <c r="Q60" i="59"/>
  <c r="P60" i="59"/>
  <c r="O60" i="59"/>
  <c r="N60" i="59"/>
  <c r="Q59" i="59"/>
  <c r="P59" i="59"/>
  <c r="O59" i="59"/>
  <c r="N59" i="59"/>
  <c r="Q58" i="59"/>
  <c r="P58" i="59"/>
  <c r="O58" i="59"/>
  <c r="N58" i="59"/>
  <c r="Q57" i="59"/>
  <c r="F58" i="59" s="1"/>
  <c r="F59" i="59" s="1"/>
  <c r="F60" i="59" s="1"/>
  <c r="V60" i="59" s="1"/>
  <c r="P57" i="59"/>
  <c r="E58" i="59" s="1"/>
  <c r="E59" i="59" s="1"/>
  <c r="O57" i="59"/>
  <c r="C58" i="59" s="1"/>
  <c r="D58" i="59" s="1"/>
  <c r="N57" i="59"/>
  <c r="B58" i="59" s="1"/>
  <c r="B59" i="59" s="1"/>
  <c r="B60" i="59" s="1"/>
  <c r="S60" i="59" s="1"/>
  <c r="D57" i="59"/>
  <c r="Q56" i="59"/>
  <c r="P56" i="59"/>
  <c r="O56" i="59"/>
  <c r="N56" i="59"/>
  <c r="Q55" i="59"/>
  <c r="P55" i="59"/>
  <c r="O55" i="59"/>
  <c r="N55" i="59"/>
  <c r="Q54" i="59"/>
  <c r="P54" i="59"/>
  <c r="O54" i="59"/>
  <c r="N54" i="59"/>
  <c r="Q53" i="59"/>
  <c r="F54" i="59"/>
  <c r="F55" i="59" s="1"/>
  <c r="F56" i="59" s="1"/>
  <c r="V56" i="59" s="1"/>
  <c r="P53" i="59"/>
  <c r="E54" i="59" s="1"/>
  <c r="O53" i="59"/>
  <c r="C54" i="59" s="1"/>
  <c r="D54" i="59" s="1"/>
  <c r="N53" i="59"/>
  <c r="B54" i="59"/>
  <c r="B55" i="59" s="1"/>
  <c r="B56" i="59" s="1"/>
  <c r="S56" i="59" s="1"/>
  <c r="D53" i="59"/>
  <c r="Q52" i="59"/>
  <c r="P52" i="59"/>
  <c r="O52" i="59"/>
  <c r="N52" i="59"/>
  <c r="Q51" i="59"/>
  <c r="P51" i="59"/>
  <c r="O51" i="59"/>
  <c r="N51" i="59"/>
  <c r="Q50" i="59"/>
  <c r="P50" i="59"/>
  <c r="O50" i="59"/>
  <c r="N50" i="59"/>
  <c r="Q49" i="59"/>
  <c r="F50" i="59" s="1"/>
  <c r="F51" i="59" s="1"/>
  <c r="F52" i="59" s="1"/>
  <c r="V52" i="59" s="1"/>
  <c r="P49" i="59"/>
  <c r="E50" i="59" s="1"/>
  <c r="E51" i="59" s="1"/>
  <c r="O49" i="59"/>
  <c r="C50" i="59" s="1"/>
  <c r="D50" i="59" s="1"/>
  <c r="N49" i="59"/>
  <c r="B50" i="59" s="1"/>
  <c r="B51" i="59" s="1"/>
  <c r="B52" i="59" s="1"/>
  <c r="S52" i="59" s="1"/>
  <c r="D49" i="59"/>
  <c r="Q48" i="59"/>
  <c r="P48" i="59"/>
  <c r="O48" i="59"/>
  <c r="N48" i="59"/>
  <c r="Q47" i="59"/>
  <c r="P47" i="59"/>
  <c r="O47" i="59"/>
  <c r="N47" i="59"/>
  <c r="Q46" i="59"/>
  <c r="P46" i="59"/>
  <c r="O46" i="59"/>
  <c r="N46" i="59"/>
  <c r="E46" i="59"/>
  <c r="E47" i="59" s="1"/>
  <c r="E48" i="59" s="1"/>
  <c r="U48" i="59" s="1"/>
  <c r="Q45" i="59"/>
  <c r="F46" i="59" s="1"/>
  <c r="F47" i="59" s="1"/>
  <c r="F48" i="59" s="1"/>
  <c r="V48" i="59" s="1"/>
  <c r="P45" i="59"/>
  <c r="O45" i="59"/>
  <c r="C46" i="59" s="1"/>
  <c r="D46"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s="1"/>
  <c r="U40" i="59" s="1"/>
  <c r="O37" i="59"/>
  <c r="C38" i="59" s="1"/>
  <c r="C39" i="59" s="1"/>
  <c r="D39" i="59" s="1"/>
  <c r="N37" i="59"/>
  <c r="B38" i="59" s="1"/>
  <c r="B39" i="59" s="1"/>
  <c r="B40" i="59" s="1"/>
  <c r="S40" i="59" s="1"/>
  <c r="D37" i="59"/>
  <c r="Q36" i="59"/>
  <c r="P36" i="59"/>
  <c r="O36" i="59"/>
  <c r="N36" i="59"/>
  <c r="AB35" i="59"/>
  <c r="Q35" i="59"/>
  <c r="P35" i="59"/>
  <c r="O35" i="59"/>
  <c r="N35" i="59"/>
  <c r="X35" i="59"/>
  <c r="Q34" i="59"/>
  <c r="AB34" i="59" s="1"/>
  <c r="P34" i="59"/>
  <c r="O34" i="59"/>
  <c r="Y34" i="59" s="1"/>
  <c r="Z34" i="59" s="1"/>
  <c r="N34" i="59"/>
  <c r="X34" i="59" s="1"/>
  <c r="Q33" i="59"/>
  <c r="AB33" i="59" s="1"/>
  <c r="P33" i="59"/>
  <c r="E34" i="59"/>
  <c r="E35" i="59" s="1"/>
  <c r="E36" i="59" s="1"/>
  <c r="O33" i="59"/>
  <c r="Y33" i="59" s="1"/>
  <c r="Z33" i="59" s="1"/>
  <c r="N33" i="59"/>
  <c r="X33" i="59" s="1"/>
  <c r="D33" i="59"/>
  <c r="Q32" i="59"/>
  <c r="AB32" i="59" s="1"/>
  <c r="P32" i="59"/>
  <c r="O32" i="59"/>
  <c r="Y32" i="59" s="1"/>
  <c r="Z32" i="59" s="1"/>
  <c r="N32" i="59"/>
  <c r="Q31" i="59"/>
  <c r="AB31" i="59" s="1"/>
  <c r="P31" i="59"/>
  <c r="O31" i="59"/>
  <c r="Y31" i="59" s="1"/>
  <c r="Z31" i="59" s="1"/>
  <c r="N31" i="59"/>
  <c r="Q30" i="59"/>
  <c r="AB30" i="59" s="1"/>
  <c r="P30" i="59"/>
  <c r="O30" i="59"/>
  <c r="Y30" i="59" s="1"/>
  <c r="Z30" i="59" s="1"/>
  <c r="N30" i="59"/>
  <c r="Q29" i="59"/>
  <c r="AB29" i="59" s="1"/>
  <c r="P29" i="59"/>
  <c r="E30" i="59"/>
  <c r="E31" i="59" s="1"/>
  <c r="E32" i="59" s="1"/>
  <c r="U32" i="59" s="1"/>
  <c r="O29" i="59"/>
  <c r="Y29" i="59" s="1"/>
  <c r="Z29" i="59" s="1"/>
  <c r="N29" i="59"/>
  <c r="X29" i="59" s="1"/>
  <c r="D29" i="59"/>
  <c r="Q28" i="59"/>
  <c r="AB28" i="59" s="1"/>
  <c r="P28" i="59"/>
  <c r="O28" i="59"/>
  <c r="Y28" i="59" s="1"/>
  <c r="Z28" i="59" s="1"/>
  <c r="N28" i="59"/>
  <c r="Q27" i="59"/>
  <c r="AB27" i="59" s="1"/>
  <c r="P27" i="59"/>
  <c r="O27" i="59"/>
  <c r="Y27" i="59" s="1"/>
  <c r="Z27" i="59" s="1"/>
  <c r="N27" i="59"/>
  <c r="Q26" i="59"/>
  <c r="AB26" i="59" s="1"/>
  <c r="P26" i="59"/>
  <c r="AA26" i="59" s="1"/>
  <c r="O26" i="59"/>
  <c r="Y26" i="59" s="1"/>
  <c r="Z26" i="59" s="1"/>
  <c r="N26" i="59"/>
  <c r="Q25" i="59"/>
  <c r="P25" i="59"/>
  <c r="AA25" i="59" s="1"/>
  <c r="E26" i="59"/>
  <c r="E27" i="59" s="1"/>
  <c r="E28" i="59" s="1"/>
  <c r="U28" i="59" s="1"/>
  <c r="O25" i="59"/>
  <c r="N25" i="59"/>
  <c r="D25" i="59"/>
  <c r="O24" i="59"/>
  <c r="N24" i="59"/>
  <c r="C24" i="59"/>
  <c r="Y21" i="59"/>
  <c r="Z21" i="59" s="1"/>
  <c r="Y24" i="59"/>
  <c r="Z24" i="59" s="1"/>
  <c r="B24" i="59"/>
  <c r="X23" i="59"/>
  <c r="X22" i="59"/>
  <c r="D38" i="59"/>
  <c r="C47" i="59"/>
  <c r="C48" i="59" s="1"/>
  <c r="D48" i="59" s="1"/>
  <c r="P24" i="59"/>
  <c r="E52" i="59"/>
  <c r="U52" i="59" s="1"/>
  <c r="E55" i="59"/>
  <c r="E56" i="59" s="1"/>
  <c r="U56" i="59"/>
  <c r="E60" i="59"/>
  <c r="U60" i="59" s="1"/>
  <c r="Q61" i="59"/>
  <c r="P62" i="59"/>
  <c r="U68" i="59"/>
  <c r="E67" i="59"/>
  <c r="E66" i="59"/>
  <c r="Q24" i="59"/>
  <c r="C51" i="59"/>
  <c r="D51" i="59" s="1"/>
  <c r="C55" i="59"/>
  <c r="D55" i="59" s="1"/>
  <c r="C59" i="59"/>
  <c r="D59" i="59" s="1"/>
  <c r="N63" i="59"/>
  <c r="B62" i="59"/>
  <c r="Q63" i="59"/>
  <c r="T64" i="59"/>
  <c r="O64" i="59"/>
  <c r="D64" i="59"/>
  <c r="C63" i="59"/>
  <c r="T68" i="59"/>
  <c r="D68" i="59"/>
  <c r="C67" i="59"/>
  <c r="Q64" i="59"/>
  <c r="C71" i="59"/>
  <c r="E71" i="59"/>
  <c r="E70" i="59" s="1"/>
  <c r="D72" i="59"/>
  <c r="C75" i="59"/>
  <c r="E75" i="59"/>
  <c r="E74" i="59" s="1"/>
  <c r="D76" i="59"/>
  <c r="C79" i="59"/>
  <c r="C83" i="59"/>
  <c r="D83" i="59" s="1"/>
  <c r="F24" i="59"/>
  <c r="AB21" i="59"/>
  <c r="AB23" i="59"/>
  <c r="E24" i="59"/>
  <c r="AA23" i="59"/>
  <c r="AA3" i="59"/>
  <c r="C23" i="59"/>
  <c r="C22" i="59" s="1"/>
  <c r="D79" i="59"/>
  <c r="C78" i="59"/>
  <c r="D78" i="59"/>
  <c r="D71" i="59"/>
  <c r="C70" i="59"/>
  <c r="D70" i="59" s="1"/>
  <c r="C66" i="59"/>
  <c r="D66" i="59" s="1"/>
  <c r="D67" i="59"/>
  <c r="D47" i="59"/>
  <c r="C82" i="59"/>
  <c r="D82" i="59" s="1"/>
  <c r="D75" i="59"/>
  <c r="C74" i="59"/>
  <c r="D74" i="59"/>
  <c r="O63" i="59"/>
  <c r="C60" i="59"/>
  <c r="D60" i="59" s="1"/>
  <c r="C56" i="59"/>
  <c r="D56" i="59" s="1"/>
  <c r="C52" i="59"/>
  <c r="D52" i="59" s="1"/>
  <c r="N61" i="59"/>
  <c r="N62" i="59"/>
  <c r="C40" i="59"/>
  <c r="D40" i="59" s="1"/>
  <c r="D23" i="59"/>
  <c r="D22" i="59"/>
  <c r="F23" i="59"/>
  <c r="F22" i="59" s="1"/>
  <c r="V24" i="59"/>
  <c r="T48" i="59"/>
  <c r="T40" i="59"/>
  <c r="T52" i="59"/>
  <c r="T56" i="59"/>
  <c r="T60" i="59"/>
  <c r="Z25" i="40"/>
  <c r="Q25" i="40"/>
  <c r="E94" i="40"/>
  <c r="F94" i="40" s="1"/>
  <c r="D94" i="40"/>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c r="F21" i="21"/>
  <c r="AA21" i="21"/>
  <c r="C21" i="21"/>
  <c r="G20" i="20"/>
  <c r="B86" i="43" s="1"/>
  <c r="C22" i="20"/>
  <c r="C29" i="39" s="1"/>
  <c r="AB25" i="40"/>
  <c r="S25" i="40"/>
  <c r="S18" i="36"/>
  <c r="W18" i="35"/>
  <c r="U18" i="35"/>
  <c r="S18" i="35"/>
  <c r="U21" i="37"/>
  <c r="S21" i="37"/>
  <c r="S21" i="34"/>
  <c r="U21" i="33"/>
  <c r="S21" i="33"/>
  <c r="S21" i="21"/>
  <c r="G94" i="40"/>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E39" i="31" s="1"/>
  <c r="B6" i="1"/>
  <c r="M21" i="15" s="1"/>
  <c r="B5" i="1"/>
  <c r="F7" i="15" s="1"/>
  <c r="B27" i="31"/>
  <c r="B25" i="31"/>
  <c r="B125" i="57" s="1"/>
  <c r="X28" i="31"/>
  <c r="Y28" i="31"/>
  <c r="Y25" i="31" s="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C36" i="57" s="1"/>
  <c r="D125" i="57"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A135" i="57" s="1"/>
  <c r="A14" i="52" s="1"/>
  <c r="B61" i="60" s="1"/>
  <c r="D17" i="57"/>
  <c r="C18" i="57" s="1"/>
  <c r="D18" i="57" s="1"/>
  <c r="C17" i="57"/>
  <c r="M4" i="57"/>
  <c r="L4" i="57"/>
  <c r="B32" i="9"/>
  <c r="C23" i="31"/>
  <c r="C2" i="31" s="1"/>
  <c r="I23" i="31" s="1"/>
  <c r="C2" i="36"/>
  <c r="F2" i="36" s="1"/>
  <c r="C2" i="35"/>
  <c r="F2" i="35" s="1"/>
  <c r="C2" i="37"/>
  <c r="F2" i="37" s="1"/>
  <c r="C2" i="34"/>
  <c r="F2" i="34" s="1"/>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S36" i="31" s="1"/>
  <c r="R37" i="31"/>
  <c r="T37" i="31" s="1"/>
  <c r="R38" i="31"/>
  <c r="S38" i="31" s="1"/>
  <c r="R39" i="31"/>
  <c r="T39" i="31" s="1"/>
  <c r="R40" i="31"/>
  <c r="S40" i="31" s="1"/>
  <c r="R41" i="31"/>
  <c r="T41" i="31" s="1"/>
  <c r="R42" i="31"/>
  <c r="S42" i="31" s="1"/>
  <c r="R43" i="31"/>
  <c r="T43" i="31" s="1"/>
  <c r="R44" i="31"/>
  <c r="S44" i="31" s="1"/>
  <c r="R45" i="31"/>
  <c r="T45" i="31" s="1"/>
  <c r="R46" i="31"/>
  <c r="S46" i="31" s="1"/>
  <c r="R47" i="31"/>
  <c r="T47" i="31" s="1"/>
  <c r="R48" i="31"/>
  <c r="S48" i="31" s="1"/>
  <c r="R49" i="31"/>
  <c r="T49" i="31" s="1"/>
  <c r="R50" i="31"/>
  <c r="S50" i="31" s="1"/>
  <c r="R51" i="31"/>
  <c r="T51" i="31" s="1"/>
  <c r="R52" i="31"/>
  <c r="S52" i="31" s="1"/>
  <c r="R53" i="31"/>
  <c r="T53" i="31" s="1"/>
  <c r="R54" i="31"/>
  <c r="S54" i="31" s="1"/>
  <c r="R55" i="31"/>
  <c r="T55" i="31" s="1"/>
  <c r="R56" i="31"/>
  <c r="S56" i="31" s="1"/>
  <c r="R57" i="31"/>
  <c r="T57" i="31" s="1"/>
  <c r="R58" i="31"/>
  <c r="T58" i="31" s="1"/>
  <c r="R59" i="31"/>
  <c r="T59" i="31" s="1"/>
  <c r="R60" i="31"/>
  <c r="T60" i="31" s="1"/>
  <c r="R61" i="31"/>
  <c r="T61" i="31" s="1"/>
  <c r="R62" i="31"/>
  <c r="T62" i="31" s="1"/>
  <c r="R63" i="31"/>
  <c r="T63" i="31" s="1"/>
  <c r="R64" i="31"/>
  <c r="T64" i="31" s="1"/>
  <c r="R65" i="31"/>
  <c r="T65" i="31" s="1"/>
  <c r="R66" i="31"/>
  <c r="T66" i="31" s="1"/>
  <c r="R67" i="31"/>
  <c r="T67" i="31" s="1"/>
  <c r="R68" i="31"/>
  <c r="R69" i="31"/>
  <c r="T69" i="31" s="1"/>
  <c r="R70" i="31"/>
  <c r="T70" i="31" s="1"/>
  <c r="R71" i="31"/>
  <c r="T71" i="31" s="1"/>
  <c r="R72" i="31"/>
  <c r="R73" i="31"/>
  <c r="T73" i="31" s="1"/>
  <c r="R74" i="31"/>
  <c r="T74" i="31" s="1"/>
  <c r="R75" i="31"/>
  <c r="T75" i="31" s="1"/>
  <c r="R76" i="31"/>
  <c r="S76" i="31" s="1"/>
  <c r="R77" i="31"/>
  <c r="T77" i="31" s="1"/>
  <c r="R78" i="31"/>
  <c r="S78" i="31" s="1"/>
  <c r="R79" i="31"/>
  <c r="T79" i="31" s="1"/>
  <c r="R80" i="31"/>
  <c r="S80" i="31" s="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R117" i="31"/>
  <c r="T117" i="31" s="1"/>
  <c r="R118" i="31"/>
  <c r="T118" i="31" s="1"/>
  <c r="R119" i="31"/>
  <c r="T119" i="31" s="1"/>
  <c r="R120" i="31"/>
  <c r="R121" i="31"/>
  <c r="T121" i="31" s="1"/>
  <c r="R122" i="31"/>
  <c r="T122" i="31" s="1"/>
  <c r="R123" i="31"/>
  <c r="T123" i="31" s="1"/>
  <c r="R124" i="31"/>
  <c r="R125" i="31"/>
  <c r="T125" i="31" s="1"/>
  <c r="R126" i="31"/>
  <c r="T126" i="31" s="1"/>
  <c r="R127" i="31"/>
  <c r="T127" i="31" s="1"/>
  <c r="R128" i="31"/>
  <c r="R129" i="31"/>
  <c r="T129" i="31" s="1"/>
  <c r="R130" i="31"/>
  <c r="T130" i="31" s="1"/>
  <c r="R131" i="31"/>
  <c r="T131" i="31" s="1"/>
  <c r="R132" i="31"/>
  <c r="R133" i="31"/>
  <c r="T133" i="31" s="1"/>
  <c r="R134" i="31"/>
  <c r="T134" i="31" s="1"/>
  <c r="R135" i="31"/>
  <c r="T135" i="31" s="1"/>
  <c r="R136" i="31"/>
  <c r="R137" i="31"/>
  <c r="T137" i="31" s="1"/>
  <c r="R138" i="31"/>
  <c r="T138" i="31" s="1"/>
  <c r="R139" i="31"/>
  <c r="T139" i="31" s="1"/>
  <c r="R140" i="31"/>
  <c r="R141" i="31"/>
  <c r="T141" i="31" s="1"/>
  <c r="R142" i="31"/>
  <c r="T142" i="31" s="1"/>
  <c r="R143" i="31"/>
  <c r="T143" i="31" s="1"/>
  <c r="R144" i="31"/>
  <c r="R145" i="31"/>
  <c r="T145" i="31" s="1"/>
  <c r="R146" i="31"/>
  <c r="T146" i="31" s="1"/>
  <c r="R147" i="31"/>
  <c r="T147" i="31" s="1"/>
  <c r="R148" i="31"/>
  <c r="R149" i="31"/>
  <c r="T149" i="31" s="1"/>
  <c r="R150" i="31"/>
  <c r="T150" i="31" s="1"/>
  <c r="R151" i="31"/>
  <c r="T151" i="31" s="1"/>
  <c r="R152" i="31"/>
  <c r="R153" i="31"/>
  <c r="T153" i="31" s="1"/>
  <c r="R154" i="31"/>
  <c r="T154" i="31" s="1"/>
  <c r="R155" i="31"/>
  <c r="T155" i="31" s="1"/>
  <c r="R156" i="31"/>
  <c r="R157" i="31"/>
  <c r="T157" i="31" s="1"/>
  <c r="R158" i="31"/>
  <c r="T158" i="31" s="1"/>
  <c r="R159" i="31"/>
  <c r="T159" i="31" s="1"/>
  <c r="R160" i="31"/>
  <c r="R161" i="31"/>
  <c r="T161" i="31" s="1"/>
  <c r="R162" i="31"/>
  <c r="T162" i="31" s="1"/>
  <c r="R163" i="31"/>
  <c r="T163" i="31" s="1"/>
  <c r="R164" i="31"/>
  <c r="R165" i="31"/>
  <c r="T165" i="31" s="1"/>
  <c r="R166" i="31"/>
  <c r="T166" i="31" s="1"/>
  <c r="R167" i="31"/>
  <c r="T167" i="31" s="1"/>
  <c r="R168" i="31"/>
  <c r="R169" i="31"/>
  <c r="T169" i="31" s="1"/>
  <c r="R170" i="31"/>
  <c r="T170" i="31" s="1"/>
  <c r="R171" i="31"/>
  <c r="T171" i="31" s="1"/>
  <c r="R172" i="31"/>
  <c r="R173" i="31"/>
  <c r="T173" i="31" s="1"/>
  <c r="R174" i="31"/>
  <c r="T174" i="31" s="1"/>
  <c r="R175" i="31"/>
  <c r="T175" i="31" s="1"/>
  <c r="R176" i="31"/>
  <c r="R177" i="31"/>
  <c r="T177" i="31" s="1"/>
  <c r="R178" i="31"/>
  <c r="T178" i="31" s="1"/>
  <c r="R179" i="31"/>
  <c r="T179" i="31" s="1"/>
  <c r="R180" i="31"/>
  <c r="R181" i="31"/>
  <c r="T181" i="31" s="1"/>
  <c r="R182" i="31"/>
  <c r="T182" i="31" s="1"/>
  <c r="R183" i="31"/>
  <c r="T183" i="31" s="1"/>
  <c r="R184" i="31"/>
  <c r="R185" i="31"/>
  <c r="T185" i="31" s="1"/>
  <c r="R186" i="31"/>
  <c r="T186" i="31" s="1"/>
  <c r="R187" i="31"/>
  <c r="T187" i="31" s="1"/>
  <c r="R188" i="31"/>
  <c r="R189" i="31"/>
  <c r="T189" i="31" s="1"/>
  <c r="R190" i="31"/>
  <c r="T190" i="31" s="1"/>
  <c r="R191" i="31"/>
  <c r="T191" i="31" s="1"/>
  <c r="R192" i="31"/>
  <c r="R193" i="31"/>
  <c r="T193" i="31" s="1"/>
  <c r="R194" i="31"/>
  <c r="T194" i="31" s="1"/>
  <c r="R195" i="31"/>
  <c r="T195" i="31" s="1"/>
  <c r="R196" i="31"/>
  <c r="R197" i="31"/>
  <c r="T197" i="31" s="1"/>
  <c r="R198" i="31"/>
  <c r="T198" i="31" s="1"/>
  <c r="R199" i="31"/>
  <c r="T199" i="31" s="1"/>
  <c r="R200" i="31"/>
  <c r="R201" i="31"/>
  <c r="T201" i="31" s="1"/>
  <c r="R202" i="31"/>
  <c r="T202" i="31" s="1"/>
  <c r="R203" i="31"/>
  <c r="T203" i="31" s="1"/>
  <c r="R204" i="31"/>
  <c r="R205" i="31"/>
  <c r="T205" i="31" s="1"/>
  <c r="R206" i="31"/>
  <c r="T206" i="31" s="1"/>
  <c r="R207" i="31"/>
  <c r="T207" i="31" s="1"/>
  <c r="R208" i="31"/>
  <c r="R209" i="31"/>
  <c r="T209" i="31" s="1"/>
  <c r="R210" i="31"/>
  <c r="T210" i="31" s="1"/>
  <c r="R211" i="31"/>
  <c r="T211" i="31" s="1"/>
  <c r="R212" i="31"/>
  <c r="R213" i="31"/>
  <c r="T213" i="31" s="1"/>
  <c r="R214" i="31"/>
  <c r="T214" i="31" s="1"/>
  <c r="R215" i="31"/>
  <c r="T215" i="31" s="1"/>
  <c r="R216" i="31"/>
  <c r="R217" i="31"/>
  <c r="T217" i="31" s="1"/>
  <c r="R218" i="31"/>
  <c r="T218" i="31" s="1"/>
  <c r="R219" i="31"/>
  <c r="T219" i="31" s="1"/>
  <c r="R220" i="31"/>
  <c r="R221" i="31"/>
  <c r="T221" i="31" s="1"/>
  <c r="R222" i="31"/>
  <c r="T222" i="31" s="1"/>
  <c r="R223" i="31"/>
  <c r="T223" i="31" s="1"/>
  <c r="R224" i="3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R250" i="31"/>
  <c r="T250" i="31" s="1"/>
  <c r="R251" i="31"/>
  <c r="R252" i="31"/>
  <c r="T252" i="31" s="1"/>
  <c r="R253" i="31"/>
  <c r="R254" i="31"/>
  <c r="T254" i="31" s="1"/>
  <c r="R255" i="31"/>
  <c r="R256" i="31"/>
  <c r="T256" i="31" s="1"/>
  <c r="R257" i="31"/>
  <c r="R258" i="31"/>
  <c r="T258" i="31" s="1"/>
  <c r="R259" i="31"/>
  <c r="S259" i="31" s="1"/>
  <c r="R260" i="31"/>
  <c r="R261" i="31"/>
  <c r="S261" i="31" s="1"/>
  <c r="R262" i="31"/>
  <c r="S262" i="31" s="1"/>
  <c r="R263" i="31"/>
  <c r="S263" i="31" s="1"/>
  <c r="R264" i="31"/>
  <c r="T264" i="31" s="1"/>
  <c r="R265" i="31"/>
  <c r="S265" i="31" s="1"/>
  <c r="R266" i="31"/>
  <c r="R267" i="31"/>
  <c r="S267" i="31" s="1"/>
  <c r="R268" i="31"/>
  <c r="T268" i="31" s="1"/>
  <c r="R269" i="31"/>
  <c r="S269" i="31" s="1"/>
  <c r="R270" i="31"/>
  <c r="S270" i="31" s="1"/>
  <c r="R271" i="31"/>
  <c r="S271" i="31" s="1"/>
  <c r="R272" i="31"/>
  <c r="R273" i="31"/>
  <c r="S273" i="31" s="1"/>
  <c r="R274" i="31"/>
  <c r="T274" i="31" s="1"/>
  <c r="R275" i="31"/>
  <c r="S275" i="31" s="1"/>
  <c r="R276" i="31"/>
  <c r="R277" i="31"/>
  <c r="S277" i="31" s="1"/>
  <c r="R278" i="31"/>
  <c r="S278" i="31" s="1"/>
  <c r="R279" i="31"/>
  <c r="S279" i="31" s="1"/>
  <c r="R280" i="31"/>
  <c r="T280" i="31" s="1"/>
  <c r="R281" i="31"/>
  <c r="S281" i="31" s="1"/>
  <c r="R282" i="31"/>
  <c r="R283" i="31"/>
  <c r="S283" i="31" s="1"/>
  <c r="R284" i="31"/>
  <c r="T284" i="31" s="1"/>
  <c r="R285" i="31"/>
  <c r="S285" i="31" s="1"/>
  <c r="R286" i="31"/>
  <c r="S286" i="31" s="1"/>
  <c r="R287" i="31"/>
  <c r="S287" i="31" s="1"/>
  <c r="R288" i="31"/>
  <c r="R289" i="31"/>
  <c r="S289" i="31" s="1"/>
  <c r="R290" i="31"/>
  <c r="T290" i="31" s="1"/>
  <c r="R291" i="31"/>
  <c r="S291" i="31" s="1"/>
  <c r="R292" i="31"/>
  <c r="R293" i="31"/>
  <c r="S293" i="31" s="1"/>
  <c r="R294" i="31"/>
  <c r="S294" i="31" s="1"/>
  <c r="R295" i="31"/>
  <c r="S295" i="31" s="1"/>
  <c r="R296" i="31"/>
  <c r="T296" i="31" s="1"/>
  <c r="R297" i="31"/>
  <c r="S297" i="31" s="1"/>
  <c r="R298" i="31"/>
  <c r="R299" i="31"/>
  <c r="S299" i="31" s="1"/>
  <c r="R300" i="31"/>
  <c r="T300" i="31" s="1"/>
  <c r="R301" i="31"/>
  <c r="S301" i="31" s="1"/>
  <c r="R302" i="31"/>
  <c r="S302" i="31" s="1"/>
  <c r="R303" i="31"/>
  <c r="S303" i="31" s="1"/>
  <c r="R304" i="31"/>
  <c r="R305" i="31"/>
  <c r="S305" i="31" s="1"/>
  <c r="R306" i="31"/>
  <c r="T306" i="31" s="1"/>
  <c r="R307" i="31"/>
  <c r="S307" i="31" s="1"/>
  <c r="R308" i="31"/>
  <c r="R309" i="31"/>
  <c r="S309" i="31" s="1"/>
  <c r="R310" i="31"/>
  <c r="S310" i="31" s="1"/>
  <c r="R311" i="31"/>
  <c r="S311" i="31" s="1"/>
  <c r="R312" i="31"/>
  <c r="T312" i="31" s="1"/>
  <c r="R313" i="31"/>
  <c r="S313" i="31" s="1"/>
  <c r="R314" i="31"/>
  <c r="R315" i="31"/>
  <c r="S315" i="31" s="1"/>
  <c r="R316" i="31"/>
  <c r="T316" i="31" s="1"/>
  <c r="R317" i="31"/>
  <c r="S317" i="31" s="1"/>
  <c r="R318" i="31"/>
  <c r="S318" i="31" s="1"/>
  <c r="R319" i="31"/>
  <c r="S319" i="31" s="1"/>
  <c r="R320" i="31"/>
  <c r="R321" i="31"/>
  <c r="S321" i="31" s="1"/>
  <c r="R322" i="31"/>
  <c r="T322" i="31" s="1"/>
  <c r="R323" i="31"/>
  <c r="S323" i="31" s="1"/>
  <c r="R324" i="31"/>
  <c r="S324" i="31" s="1"/>
  <c r="R325" i="31"/>
  <c r="T325" i="31" s="1"/>
  <c r="R326" i="31"/>
  <c r="T326" i="31" s="1"/>
  <c r="R327" i="31"/>
  <c r="T327" i="31" s="1"/>
  <c r="R328" i="31"/>
  <c r="R329" i="31"/>
  <c r="T329" i="31" s="1"/>
  <c r="R330" i="31"/>
  <c r="T330" i="31" s="1"/>
  <c r="R331" i="31"/>
  <c r="T331" i="31" s="1"/>
  <c r="R332" i="31"/>
  <c r="S332" i="31" s="1"/>
  <c r="R333" i="31"/>
  <c r="T333" i="31" s="1"/>
  <c r="R334" i="31"/>
  <c r="R335" i="31"/>
  <c r="T335" i="31" s="1"/>
  <c r="R336" i="31"/>
  <c r="T336" i="31" s="1"/>
  <c r="R337" i="31"/>
  <c r="T337" i="31" s="1"/>
  <c r="R338" i="31"/>
  <c r="R339" i="31"/>
  <c r="T339" i="31" s="1"/>
  <c r="R340" i="31"/>
  <c r="S340" i="31" s="1"/>
  <c r="R341" i="31"/>
  <c r="T341" i="31" s="1"/>
  <c r="R342" i="31"/>
  <c r="T342" i="31" s="1"/>
  <c r="R343" i="31"/>
  <c r="T343" i="31" s="1"/>
  <c r="R344" i="31"/>
  <c r="R345" i="31"/>
  <c r="T345" i="31" s="1"/>
  <c r="R346" i="31"/>
  <c r="T346" i="31" s="1"/>
  <c r="R347" i="31"/>
  <c r="T347" i="31" s="1"/>
  <c r="R348" i="31"/>
  <c r="S348" i="31" s="1"/>
  <c r="R349" i="31"/>
  <c r="T349" i="31" s="1"/>
  <c r="R350" i="31"/>
  <c r="R351" i="31"/>
  <c r="T351" i="31" s="1"/>
  <c r="R352" i="31"/>
  <c r="T352" i="31" s="1"/>
  <c r="R353" i="31"/>
  <c r="T353" i="31" s="1"/>
  <c r="R354" i="31"/>
  <c r="R355" i="31"/>
  <c r="T355" i="31" s="1"/>
  <c r="R356" i="31"/>
  <c r="S356" i="31" s="1"/>
  <c r="R357" i="31"/>
  <c r="T357" i="31" s="1"/>
  <c r="R358" i="31"/>
  <c r="T358" i="31" s="1"/>
  <c r="R359" i="31"/>
  <c r="T359" i="31" s="1"/>
  <c r="R360" i="31"/>
  <c r="R361" i="31"/>
  <c r="T361" i="31" s="1"/>
  <c r="R362" i="31"/>
  <c r="T362" i="31" s="1"/>
  <c r="R363" i="31"/>
  <c r="T363" i="31" s="1"/>
  <c r="R364" i="31"/>
  <c r="S364" i="31" s="1"/>
  <c r="R365" i="31"/>
  <c r="T365" i="31" s="1"/>
  <c r="R366" i="31"/>
  <c r="R367" i="31"/>
  <c r="T367" i="31" s="1"/>
  <c r="R368" i="31"/>
  <c r="T368" i="31" s="1"/>
  <c r="R369" i="31"/>
  <c r="T369" i="31" s="1"/>
  <c r="R370" i="31"/>
  <c r="R371" i="31"/>
  <c r="T371" i="31" s="1"/>
  <c r="R372" i="31"/>
  <c r="S372" i="31" s="1"/>
  <c r="R373" i="31"/>
  <c r="T373" i="31" s="1"/>
  <c r="R374" i="31"/>
  <c r="T374" i="31" s="1"/>
  <c r="R375" i="31"/>
  <c r="T375" i="31" s="1"/>
  <c r="R376" i="31"/>
  <c r="R377" i="31"/>
  <c r="T377" i="31" s="1"/>
  <c r="R378" i="31"/>
  <c r="T378" i="31" s="1"/>
  <c r="R379" i="31"/>
  <c r="T379" i="31" s="1"/>
  <c r="R380" i="31"/>
  <c r="S380" i="31" s="1"/>
  <c r="R381" i="31"/>
  <c r="T381" i="31" s="1"/>
  <c r="R382" i="31"/>
  <c r="R383" i="31"/>
  <c r="T383" i="31" s="1"/>
  <c r="R384" i="31"/>
  <c r="T384" i="31" s="1"/>
  <c r="R385" i="31"/>
  <c r="T385" i="31" s="1"/>
  <c r="R386" i="31"/>
  <c r="R387" i="31"/>
  <c r="T387" i="31" s="1"/>
  <c r="R388" i="31"/>
  <c r="S388" i="31" s="1"/>
  <c r="R389" i="31"/>
  <c r="T389" i="31" s="1"/>
  <c r="R390" i="31"/>
  <c r="T390" i="31" s="1"/>
  <c r="R391" i="31"/>
  <c r="T391" i="31" s="1"/>
  <c r="R392" i="31"/>
  <c r="R393" i="31"/>
  <c r="T393" i="31" s="1"/>
  <c r="R394" i="31"/>
  <c r="T394" i="31" s="1"/>
  <c r="R395" i="31"/>
  <c r="T395" i="31" s="1"/>
  <c r="R396" i="31"/>
  <c r="S396" i="31" s="1"/>
  <c r="R397" i="31"/>
  <c r="T397" i="31" s="1"/>
  <c r="R398" i="31"/>
  <c r="R399" i="31"/>
  <c r="T399" i="31" s="1"/>
  <c r="R400" i="31"/>
  <c r="T400" i="31" s="1"/>
  <c r="R401" i="31"/>
  <c r="T401" i="31" s="1"/>
  <c r="R402" i="31"/>
  <c r="R403" i="31"/>
  <c r="T403" i="31" s="1"/>
  <c r="R404" i="31"/>
  <c r="S404" i="31" s="1"/>
  <c r="R405" i="31"/>
  <c r="T405" i="31" s="1"/>
  <c r="R406" i="31"/>
  <c r="T406" i="31" s="1"/>
  <c r="R407" i="31"/>
  <c r="T407" i="31" s="1"/>
  <c r="R408" i="31"/>
  <c r="R409" i="31"/>
  <c r="T409" i="31" s="1"/>
  <c r="R410" i="31"/>
  <c r="T410" i="31" s="1"/>
  <c r="R411" i="31"/>
  <c r="T411" i="31" s="1"/>
  <c r="R412" i="31"/>
  <c r="S412" i="31" s="1"/>
  <c r="R413" i="31"/>
  <c r="T413" i="31" s="1"/>
  <c r="R414" i="31"/>
  <c r="R415" i="31"/>
  <c r="T415" i="31" s="1"/>
  <c r="R416" i="31"/>
  <c r="T416" i="31" s="1"/>
  <c r="R417" i="31"/>
  <c r="T417" i="31" s="1"/>
  <c r="R418" i="31"/>
  <c r="R419" i="31"/>
  <c r="T419" i="31" s="1"/>
  <c r="R420" i="31"/>
  <c r="S420" i="31" s="1"/>
  <c r="R421" i="31"/>
  <c r="T421" i="31" s="1"/>
  <c r="R422" i="31"/>
  <c r="T422" i="31" s="1"/>
  <c r="R423" i="31"/>
  <c r="T423" i="31" s="1"/>
  <c r="R424" i="31"/>
  <c r="R425" i="31"/>
  <c r="T425" i="31" s="1"/>
  <c r="R426" i="31"/>
  <c r="R427" i="31"/>
  <c r="T427" i="31" s="1"/>
  <c r="R428" i="31"/>
  <c r="T428" i="31" s="1"/>
  <c r="R429" i="31"/>
  <c r="T429" i="31" s="1"/>
  <c r="R430" i="31"/>
  <c r="S430" i="31" s="1"/>
  <c r="R431" i="31"/>
  <c r="T431" i="31" s="1"/>
  <c r="R432" i="31"/>
  <c r="R433" i="31"/>
  <c r="T433" i="31" s="1"/>
  <c r="R434" i="31"/>
  <c r="S434" i="31" s="1"/>
  <c r="R435" i="31"/>
  <c r="T435" i="31" s="1"/>
  <c r="R436" i="31"/>
  <c r="T436" i="31" s="1"/>
  <c r="R437" i="31"/>
  <c r="T437" i="31" s="1"/>
  <c r="R438" i="31"/>
  <c r="S438" i="31" s="1"/>
  <c r="R439" i="31"/>
  <c r="T439" i="31" s="1"/>
  <c r="R440" i="31"/>
  <c r="R441" i="31"/>
  <c r="T441" i="31" s="1"/>
  <c r="R442" i="31"/>
  <c r="S442" i="31" s="1"/>
  <c r="R443" i="31"/>
  <c r="T443" i="31" s="1"/>
  <c r="R444" i="31"/>
  <c r="T444" i="31" s="1"/>
  <c r="R445" i="31"/>
  <c r="T445" i="31" s="1"/>
  <c r="R446" i="31"/>
  <c r="S446" i="31" s="1"/>
  <c r="R447" i="31"/>
  <c r="T447" i="31" s="1"/>
  <c r="R448" i="31"/>
  <c r="T448" i="31" s="1"/>
  <c r="R449" i="31"/>
  <c r="T449" i="31" s="1"/>
  <c r="R450" i="31"/>
  <c r="T450" i="31" s="1"/>
  <c r="R451" i="31"/>
  <c r="T451" i="31" s="1"/>
  <c r="R452" i="31"/>
  <c r="T452" i="31" s="1"/>
  <c r="R453" i="31"/>
  <c r="T453" i="31" s="1"/>
  <c r="R454" i="31"/>
  <c r="S454" i="31" s="1"/>
  <c r="R455" i="31"/>
  <c r="T455" i="31" s="1"/>
  <c r="R456" i="31"/>
  <c r="R457" i="31"/>
  <c r="T457" i="31" s="1"/>
  <c r="R458" i="31"/>
  <c r="S458" i="31" s="1"/>
  <c r="R459" i="31"/>
  <c r="T459" i="31" s="1"/>
  <c r="R460" i="31"/>
  <c r="T460" i="31" s="1"/>
  <c r="R461" i="31"/>
  <c r="T461" i="31" s="1"/>
  <c r="R462" i="31"/>
  <c r="S462" i="31" s="1"/>
  <c r="R463" i="31"/>
  <c r="T463" i="31" s="1"/>
  <c r="R464" i="31"/>
  <c r="R465" i="31"/>
  <c r="T465" i="31" s="1"/>
  <c r="R466" i="31"/>
  <c r="S466" i="31" s="1"/>
  <c r="R467" i="31"/>
  <c r="T467" i="31" s="1"/>
  <c r="R468" i="31"/>
  <c r="T468" i="31" s="1"/>
  <c r="R469" i="31"/>
  <c r="T469" i="31" s="1"/>
  <c r="R470" i="31"/>
  <c r="S470" i="31" s="1"/>
  <c r="R471" i="31"/>
  <c r="T471" i="31" s="1"/>
  <c r="R472" i="31"/>
  <c r="S472" i="31" s="1"/>
  <c r="R473" i="31"/>
  <c r="T473" i="31" s="1"/>
  <c r="R474" i="31"/>
  <c r="S474" i="31" s="1"/>
  <c r="R475" i="31"/>
  <c r="T475" i="31" s="1"/>
  <c r="R476" i="31"/>
  <c r="S476" i="31" s="1"/>
  <c r="R477" i="31"/>
  <c r="T477" i="31" s="1"/>
  <c r="R478" i="31"/>
  <c r="S478" i="31" s="1"/>
  <c r="R479" i="31"/>
  <c r="T479" i="31" s="1"/>
  <c r="R480" i="31"/>
  <c r="S480" i="31" s="1"/>
  <c r="R481" i="31"/>
  <c r="T481" i="31" s="1"/>
  <c r="R482" i="31"/>
  <c r="S482" i="31" s="1"/>
  <c r="R483" i="31"/>
  <c r="T483" i="31" s="1"/>
  <c r="R484" i="31"/>
  <c r="S484" i="31" s="1"/>
  <c r="R485" i="31"/>
  <c r="T485" i="31" s="1"/>
  <c r="R486" i="31"/>
  <c r="S486" i="31" s="1"/>
  <c r="R487" i="31"/>
  <c r="T487" i="31" s="1"/>
  <c r="R488" i="31"/>
  <c r="S488" i="31" s="1"/>
  <c r="R489" i="31"/>
  <c r="T489" i="31" s="1"/>
  <c r="R490" i="31"/>
  <c r="S490" i="31" s="1"/>
  <c r="R491" i="31"/>
  <c r="T491" i="31" s="1"/>
  <c r="R492" i="31"/>
  <c r="S492" i="31" s="1"/>
  <c r="R493" i="31"/>
  <c r="T493" i="31" s="1"/>
  <c r="R494" i="31"/>
  <c r="S494" i="31" s="1"/>
  <c r="R495" i="31"/>
  <c r="T495" i="31" s="1"/>
  <c r="R496" i="31"/>
  <c r="S496" i="31" s="1"/>
  <c r="R497" i="31"/>
  <c r="T497" i="31" s="1"/>
  <c r="R498" i="31"/>
  <c r="S498" i="31" s="1"/>
  <c r="R499" i="31"/>
  <c r="T499" i="31" s="1"/>
  <c r="R500" i="31"/>
  <c r="S500" i="31" s="1"/>
  <c r="R501" i="31"/>
  <c r="T501" i="31" s="1"/>
  <c r="R502" i="31"/>
  <c r="T502" i="31" s="1"/>
  <c r="R503" i="31"/>
  <c r="T503" i="31" s="1"/>
  <c r="R504" i="31"/>
  <c r="T504" i="31" s="1"/>
  <c r="R505" i="31"/>
  <c r="T505" i="31" s="1"/>
  <c r="R506" i="31"/>
  <c r="T506" i="31" s="1"/>
  <c r="R507" i="31"/>
  <c r="T507" i="31" s="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C20" i="12" s="1"/>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63" i="31"/>
  <c r="E95" i="31"/>
  <c r="E127" i="31"/>
  <c r="E159" i="31"/>
  <c r="E191" i="31"/>
  <c r="E212" i="31"/>
  <c r="E228" i="31"/>
  <c r="E244" i="31"/>
  <c r="E260" i="31"/>
  <c r="E276" i="31"/>
  <c r="E292" i="31"/>
  <c r="E308" i="31"/>
  <c r="E324" i="31"/>
  <c r="E340" i="31"/>
  <c r="E356" i="31"/>
  <c r="E372" i="31"/>
  <c r="E388" i="31"/>
  <c r="E404" i="31"/>
  <c r="E420" i="31"/>
  <c r="E436" i="31"/>
  <c r="E452" i="31"/>
  <c r="E462" i="31"/>
  <c r="E470" i="31"/>
  <c r="E478" i="31"/>
  <c r="E486" i="31"/>
  <c r="E494" i="31"/>
  <c r="E502" i="31"/>
  <c r="E510" i="31"/>
  <c r="E518" i="31"/>
  <c r="E526"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L5" i="31"/>
  <c r="K5" i="31"/>
  <c r="J5" i="31"/>
  <c r="I5" i="31"/>
  <c r="H5" i="31"/>
  <c r="G5" i="31"/>
  <c r="F5" i="31"/>
  <c r="E5" i="31"/>
  <c r="D5" i="31"/>
  <c r="C5" i="31"/>
  <c r="S247" i="31"/>
  <c r="S245" i="31"/>
  <c r="S243" i="31"/>
  <c r="S241" i="31"/>
  <c r="S239" i="31"/>
  <c r="S237" i="31"/>
  <c r="S235" i="31"/>
  <c r="S233" i="31"/>
  <c r="S231" i="31"/>
  <c r="S229" i="31"/>
  <c r="S227" i="31"/>
  <c r="S499"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AA31" i="35" s="1"/>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F41" i="21"/>
  <c r="J41" i="21"/>
  <c r="AC41" i="2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F111" i="40" s="1"/>
  <c r="G111" i="40"/>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H32" i="34" s="1"/>
  <c r="B97" i="34"/>
  <c r="B95" i="34"/>
  <c r="H30" i="34" s="1"/>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E126" i="34" s="1"/>
  <c r="F126" i="34" s="1"/>
  <c r="D124" i="34"/>
  <c r="E124" i="34"/>
  <c r="F124" i="34" s="1"/>
  <c r="G124" i="34" s="1"/>
  <c r="H124" i="34" s="1"/>
  <c r="I124" i="34"/>
  <c r="J124" i="34" s="1"/>
  <c r="K124" i="34" s="1"/>
  <c r="L124" i="34" s="1"/>
  <c r="M124" i="34" s="1"/>
  <c r="D118" i="34"/>
  <c r="E118" i="34"/>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F86" i="34" s="1"/>
  <c r="G86" i="34"/>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S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s="1"/>
  <c r="F34" i="34"/>
  <c r="AA34" i="34" s="1"/>
  <c r="Q33" i="34"/>
  <c r="Z33" i="34"/>
  <c r="Q32" i="34"/>
  <c r="Z32" i="34" s="1"/>
  <c r="Q31" i="34"/>
  <c r="Z31" i="34" s="1"/>
  <c r="Q30" i="34"/>
  <c r="Z30" i="34" s="1"/>
  <c r="Q29" i="34"/>
  <c r="Z29" i="34" s="1"/>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AA10" i="34" s="1"/>
  <c r="Q9" i="34"/>
  <c r="Z9" i="34"/>
  <c r="J8" i="34"/>
  <c r="AC8" i="34" s="1"/>
  <c r="H8" i="34"/>
  <c r="U8" i="34" s="1"/>
  <c r="F8" i="34"/>
  <c r="AA8" i="34" s="1"/>
  <c r="D121" i="33"/>
  <c r="E121" i="33" s="1"/>
  <c r="F121" i="33"/>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c r="G123" i="33" s="1"/>
  <c r="H123" i="33" s="1"/>
  <c r="I123" i="33" s="1"/>
  <c r="J123" i="33" s="1"/>
  <c r="K123" i="33" s="1"/>
  <c r="L123" i="33" s="1"/>
  <c r="M123" i="33" s="1"/>
  <c r="D117" i="33"/>
  <c r="E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H27" i="33" s="1"/>
  <c r="U27" i="33" s="1"/>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U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Q38" i="33"/>
  <c r="Z38" i="33"/>
  <c r="J38" i="33"/>
  <c r="H38" i="33"/>
  <c r="F38" i="33"/>
  <c r="AA38" i="33" s="1"/>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S15" i="33" s="1"/>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AA9" i="21" s="1"/>
  <c r="G18" i="20"/>
  <c r="G19" i="20"/>
  <c r="G16" i="20"/>
  <c r="B82" i="43" s="1"/>
  <c r="G15" i="20"/>
  <c r="B81" i="43" s="1"/>
  <c r="C24" i="20"/>
  <c r="B73" i="43" s="1"/>
  <c r="C21" i="20"/>
  <c r="C20" i="20"/>
  <c r="B77" i="43" s="1"/>
  <c r="C18" i="20"/>
  <c r="C17" i="20"/>
  <c r="B59" i="43" s="1"/>
  <c r="C16" i="20"/>
  <c r="B48" i="43" s="1"/>
  <c r="C15" i="20"/>
  <c r="B70" i="43" s="1"/>
  <c r="E54" i="21"/>
  <c r="F54" i="21" s="1"/>
  <c r="I54" i="21"/>
  <c r="J54" i="21" s="1"/>
  <c r="G54" i="21"/>
  <c r="H54" i="21" s="1"/>
  <c r="D125" i="21"/>
  <c r="E125" i="21" s="1"/>
  <c r="F125" i="21"/>
  <c r="G125" i="21" s="1"/>
  <c r="D123" i="21"/>
  <c r="E123" i="21" s="1"/>
  <c r="F123" i="21"/>
  <c r="G123" i="21" s="1"/>
  <c r="H123" i="21" s="1"/>
  <c r="I123" i="21" s="1"/>
  <c r="J123" i="21" s="1"/>
  <c r="K123" i="21" s="1"/>
  <c r="L123" i="21" s="1"/>
  <c r="M123" i="21" s="1"/>
  <c r="F42" i="21"/>
  <c r="D119" i="21"/>
  <c r="E119" i="21" s="1"/>
  <c r="D117" i="21"/>
  <c r="E117" i="21"/>
  <c r="D115" i="21"/>
  <c r="E115" i="21"/>
  <c r="F115" i="21" s="1"/>
  <c r="G115" i="21"/>
  <c r="H115" i="21" s="1"/>
  <c r="I115" i="21" s="1"/>
  <c r="J115" i="21" s="1"/>
  <c r="K115" i="21" s="1"/>
  <c r="L115" i="21" s="1"/>
  <c r="M115" i="21" s="1"/>
  <c r="D113" i="21"/>
  <c r="E113" i="21"/>
  <c r="F113" i="21" s="1"/>
  <c r="G113" i="21"/>
  <c r="H113" i="21" s="1"/>
  <c r="F37" i="21"/>
  <c r="D110" i="21"/>
  <c r="E110" i="21" s="1"/>
  <c r="F110" i="21" s="1"/>
  <c r="G110" i="21" s="1"/>
  <c r="H110" i="21" s="1"/>
  <c r="I110" i="21" s="1"/>
  <c r="J110" i="21" s="1"/>
  <c r="K110" i="21" s="1"/>
  <c r="L110" i="21" s="1"/>
  <c r="M110" i="21" s="1"/>
  <c r="J36" i="21"/>
  <c r="AC36" i="21" s="1"/>
  <c r="D108" i="21"/>
  <c r="E108" i="21"/>
  <c r="F108" i="21" s="1"/>
  <c r="G108" i="21"/>
  <c r="H108" i="21" s="1"/>
  <c r="I108" i="21" s="1"/>
  <c r="J108" i="21" s="1"/>
  <c r="K108" i="21" s="1"/>
  <c r="L108" i="21" s="1"/>
  <c r="M108" i="21" s="1"/>
  <c r="D106" i="21"/>
  <c r="D101" i="21"/>
  <c r="E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F85" i="21"/>
  <c r="G85" i="21" s="1"/>
  <c r="D81" i="21"/>
  <c r="E81" i="21" s="1"/>
  <c r="F81" i="21"/>
  <c r="G81" i="21" s="1"/>
  <c r="D77" i="21"/>
  <c r="E77" i="21" s="1"/>
  <c r="F77" i="21"/>
  <c r="G77" i="21" s="1"/>
  <c r="H15" i="21"/>
  <c r="AB15" i="21" s="1"/>
  <c r="B130" i="21"/>
  <c r="B128" i="21"/>
  <c r="B126" i="21"/>
  <c r="B98" i="21"/>
  <c r="B96" i="21"/>
  <c r="B94" i="21"/>
  <c r="B92" i="21"/>
  <c r="B90" i="21"/>
  <c r="B74" i="21"/>
  <c r="B72" i="21"/>
  <c r="B70" i="21"/>
  <c r="F12" i="21"/>
  <c r="AA12" i="21" s="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J8" i="21"/>
  <c r="AC8" i="21" s="1"/>
  <c r="H8" i="21"/>
  <c r="U8" i="21" s="1"/>
  <c r="H10" i="21"/>
  <c r="AB10" i="21" s="1"/>
  <c r="H36" i="21"/>
  <c r="U36" i="21" s="1"/>
  <c r="F35" i="21"/>
  <c r="AA35" i="21" s="1"/>
  <c r="J33" i="21"/>
  <c r="W33" i="21" s="1"/>
  <c r="H33" i="21"/>
  <c r="F33" i="21"/>
  <c r="AA33" i="21" s="1"/>
  <c r="J10" i="21"/>
  <c r="AC10" i="21" s="1"/>
  <c r="H26" i="21"/>
  <c r="AB26" i="21" s="1"/>
  <c r="F19" i="21"/>
  <c r="H19" i="21"/>
  <c r="AB19" i="21" s="1"/>
  <c r="J19" i="21"/>
  <c r="W19" i="21" s="1"/>
  <c r="J12" i="21"/>
  <c r="AC12" i="21" s="1"/>
  <c r="H12" i="21"/>
  <c r="AB12" i="21" s="1"/>
  <c r="J26" i="21"/>
  <c r="W26" i="21" s="1"/>
  <c r="F26" i="21"/>
  <c r="S26" i="21" s="1"/>
  <c r="AB41" i="21"/>
  <c r="U41" i="21"/>
  <c r="S41" i="21"/>
  <c r="AA41" i="21"/>
  <c r="W41" i="21"/>
  <c r="J45" i="39"/>
  <c r="W45" i="39" s="1"/>
  <c r="J44" i="39"/>
  <c r="AC44" i="39" s="1"/>
  <c r="F36" i="39"/>
  <c r="S36" i="39"/>
  <c r="H36" i="39"/>
  <c r="AB36" i="39"/>
  <c r="J36" i="39"/>
  <c r="AC36" i="39"/>
  <c r="S8" i="39"/>
  <c r="U38" i="39"/>
  <c r="H32" i="37"/>
  <c r="AB32" i="37" s="1"/>
  <c r="U8" i="37"/>
  <c r="W30" i="37"/>
  <c r="F29" i="36"/>
  <c r="AA29" i="36"/>
  <c r="F16" i="36"/>
  <c r="S16" i="36"/>
  <c r="U22" i="36"/>
  <c r="S23" i="36"/>
  <c r="W23" i="36"/>
  <c r="W22" i="36"/>
  <c r="AC31" i="36"/>
  <c r="W31" i="36"/>
  <c r="U31" i="36"/>
  <c r="J33" i="36"/>
  <c r="W33" i="36"/>
  <c r="AB34" i="36"/>
  <c r="H22" i="35"/>
  <c r="AB22" i="35" s="1"/>
  <c r="U9" i="35"/>
  <c r="S32" i="35"/>
  <c r="S31" i="35"/>
  <c r="W31" i="35"/>
  <c r="F36" i="34"/>
  <c r="AA36" i="34" s="1"/>
  <c r="U39" i="34"/>
  <c r="H39" i="33"/>
  <c r="AB39" i="33"/>
  <c r="S40" i="33"/>
  <c r="AC38" i="21"/>
  <c r="H39" i="37"/>
  <c r="AB39" i="37" s="1"/>
  <c r="S27" i="35"/>
  <c r="F11" i="40"/>
  <c r="AA11" i="40"/>
  <c r="S8" i="40"/>
  <c r="H11" i="40"/>
  <c r="AB11" i="40" s="1"/>
  <c r="W8" i="40"/>
  <c r="U9" i="40"/>
  <c r="S34" i="40"/>
  <c r="U34" i="40"/>
  <c r="S39" i="40"/>
  <c r="W39" i="40"/>
  <c r="F42" i="39"/>
  <c r="F41" i="39"/>
  <c r="AA41" i="39" s="1"/>
  <c r="H40" i="39"/>
  <c r="AB40" i="39" s="1"/>
  <c r="H39" i="39"/>
  <c r="U39" i="39" s="1"/>
  <c r="S38" i="39"/>
  <c r="H34" i="39"/>
  <c r="AB34" i="39"/>
  <c r="E109" i="39"/>
  <c r="F109" i="39"/>
  <c r="H31" i="39"/>
  <c r="AB31" i="39"/>
  <c r="F31" i="39"/>
  <c r="AA31" i="39"/>
  <c r="E103" i="39"/>
  <c r="H19" i="39"/>
  <c r="F19" i="39"/>
  <c r="H17" i="39"/>
  <c r="F17" i="39"/>
  <c r="AA17" i="39" s="1"/>
  <c r="J23" i="40"/>
  <c r="AC23" i="40" s="1"/>
  <c r="H42" i="39"/>
  <c r="J34" i="39"/>
  <c r="AC34" i="39" s="1"/>
  <c r="G109" i="39"/>
  <c r="H109" i="39" s="1"/>
  <c r="I109" i="39" s="1"/>
  <c r="J109" i="39" s="1"/>
  <c r="K109" i="39" s="1"/>
  <c r="L109" i="39" s="1"/>
  <c r="M109" i="39" s="1"/>
  <c r="J31" i="39"/>
  <c r="W31" i="39"/>
  <c r="F103" i="39"/>
  <c r="H29" i="39"/>
  <c r="U29" i="39" s="1"/>
  <c r="J19" i="39"/>
  <c r="J17" i="39"/>
  <c r="W17" i="39" s="1"/>
  <c r="J29" i="39"/>
  <c r="AC29" i="39" s="1"/>
  <c r="F29" i="39"/>
  <c r="AA29" i="39" s="1"/>
  <c r="F11" i="21"/>
  <c r="S11" i="21" s="1"/>
  <c r="C25" i="39"/>
  <c r="H11" i="39"/>
  <c r="AB11" i="39" s="1"/>
  <c r="AB39" i="39"/>
  <c r="H11" i="21"/>
  <c r="U11" i="21"/>
  <c r="J11" i="21"/>
  <c r="AC11" i="21"/>
  <c r="H36" i="40"/>
  <c r="U36" i="40" s="1"/>
  <c r="F35" i="40"/>
  <c r="S35" i="40" s="1"/>
  <c r="J30" i="40"/>
  <c r="W30" i="40" s="1"/>
  <c r="F30" i="40"/>
  <c r="F96" i="40"/>
  <c r="G96" i="40" s="1"/>
  <c r="H96" i="40" s="1"/>
  <c r="I96" i="40" s="1"/>
  <c r="J96" i="40" s="1"/>
  <c r="K96" i="40" s="1"/>
  <c r="L96" i="40" s="1"/>
  <c r="M96" i="40" s="1"/>
  <c r="H27" i="40"/>
  <c r="U27" i="40" s="1"/>
  <c r="H23" i="40"/>
  <c r="AB23" i="40" s="1"/>
  <c r="J11" i="40"/>
  <c r="W11" i="40" s="1"/>
  <c r="AB12" i="33"/>
  <c r="AA12" i="33"/>
  <c r="S44" i="39"/>
  <c r="F37" i="39"/>
  <c r="S37" i="39"/>
  <c r="J34" i="36"/>
  <c r="W34" i="36" s="1"/>
  <c r="U30" i="36"/>
  <c r="F22" i="35"/>
  <c r="AA22" i="35"/>
  <c r="H10" i="35"/>
  <c r="U10" i="35"/>
  <c r="U33" i="36"/>
  <c r="AB29" i="36"/>
  <c r="F33" i="36"/>
  <c r="S33" i="36"/>
  <c r="E85" i="36"/>
  <c r="F85" i="36"/>
  <c r="G85" i="36" s="1"/>
  <c r="H85" i="36"/>
  <c r="I85" i="36" s="1"/>
  <c r="J85" i="36" s="1"/>
  <c r="K85" i="36" s="1"/>
  <c r="L85" i="36" s="1"/>
  <c r="M85" i="36" s="1"/>
  <c r="J29" i="36"/>
  <c r="F12" i="36"/>
  <c r="AA12" i="36" s="1"/>
  <c r="F34" i="36"/>
  <c r="H20" i="36"/>
  <c r="AB20" i="36" s="1"/>
  <c r="J20" i="36"/>
  <c r="W20" i="36"/>
  <c r="AB8" i="36"/>
  <c r="W9" i="35"/>
  <c r="F14" i="35"/>
  <c r="F23" i="35"/>
  <c r="AA23" i="35" s="1"/>
  <c r="J32" i="35"/>
  <c r="J16" i="35"/>
  <c r="W16" i="35" s="1"/>
  <c r="H14" i="35"/>
  <c r="H33" i="35"/>
  <c r="AB33" i="35" s="1"/>
  <c r="S8" i="35"/>
  <c r="W8" i="35"/>
  <c r="S9" i="35"/>
  <c r="J20" i="35"/>
  <c r="W20" i="35"/>
  <c r="H20" i="35"/>
  <c r="U20" i="35"/>
  <c r="F20" i="35"/>
  <c r="AA20" i="35"/>
  <c r="E101" i="37"/>
  <c r="F101" i="37"/>
  <c r="G101" i="37" s="1"/>
  <c r="H101" i="37"/>
  <c r="I101" i="37" s="1"/>
  <c r="J101" i="37" s="1"/>
  <c r="K101" i="37" s="1"/>
  <c r="L101" i="37" s="1"/>
  <c r="M101" i="37" s="1"/>
  <c r="J34" i="37"/>
  <c r="W34" i="37" s="1"/>
  <c r="J43" i="34"/>
  <c r="AC43" i="34" s="1"/>
  <c r="H43" i="34"/>
  <c r="U42" i="34"/>
  <c r="H40" i="34"/>
  <c r="U40" i="34" s="1"/>
  <c r="E114" i="34"/>
  <c r="F114" i="34" s="1"/>
  <c r="G114" i="34" s="1"/>
  <c r="H114" i="34" s="1"/>
  <c r="I114" i="34" s="1"/>
  <c r="J114" i="34" s="1"/>
  <c r="K114" i="34" s="1"/>
  <c r="L114" i="34" s="1"/>
  <c r="M114" i="34" s="1"/>
  <c r="F38" i="34"/>
  <c r="AA38" i="34"/>
  <c r="J19" i="34"/>
  <c r="W19" i="34"/>
  <c r="J15" i="34"/>
  <c r="AC15" i="34"/>
  <c r="H15" i="34"/>
  <c r="AB15" i="34"/>
  <c r="J10" i="34"/>
  <c r="W10" i="34" s="1"/>
  <c r="H10" i="34"/>
  <c r="AB10" i="34" s="1"/>
  <c r="F41" i="33"/>
  <c r="S41" i="33"/>
  <c r="E113" i="33"/>
  <c r="J34" i="33"/>
  <c r="W34" i="33" s="1"/>
  <c r="F36" i="33"/>
  <c r="S36" i="33"/>
  <c r="F25" i="33"/>
  <c r="AA25" i="33"/>
  <c r="J25" i="33"/>
  <c r="AC25" i="33"/>
  <c r="H25" i="33"/>
  <c r="AB25" i="33"/>
  <c r="J23" i="33"/>
  <c r="AC23" i="33"/>
  <c r="F23" i="33"/>
  <c r="AA23" i="33"/>
  <c r="H23" i="33"/>
  <c r="F19" i="33"/>
  <c r="S19" i="33" s="1"/>
  <c r="J19" i="33"/>
  <c r="W19" i="33" s="1"/>
  <c r="J17" i="33"/>
  <c r="AC17" i="33" s="1"/>
  <c r="H17" i="33"/>
  <c r="J15" i="33"/>
  <c r="AC15" i="33" s="1"/>
  <c r="F11" i="33"/>
  <c r="W10" i="33"/>
  <c r="H10" i="33"/>
  <c r="U10" i="33"/>
  <c r="U8" i="33"/>
  <c r="S8" i="33"/>
  <c r="F37" i="40"/>
  <c r="F36" i="40"/>
  <c r="J27" i="40"/>
  <c r="F27" i="40"/>
  <c r="S27" i="40" s="1"/>
  <c r="F23" i="40"/>
  <c r="AA23" i="40" s="1"/>
  <c r="AC11" i="40"/>
  <c r="AB30" i="36"/>
  <c r="AC34" i="36"/>
  <c r="F29" i="35"/>
  <c r="S29" i="35" s="1"/>
  <c r="U34" i="37"/>
  <c r="AB42" i="34"/>
  <c r="H38" i="34"/>
  <c r="AB38" i="34" s="1"/>
  <c r="U15" i="34"/>
  <c r="F113" i="33"/>
  <c r="G113" i="33" s="1"/>
  <c r="H113" i="33"/>
  <c r="I113" i="33" s="1"/>
  <c r="J113" i="33" s="1"/>
  <c r="K113" i="33" s="1"/>
  <c r="L113" i="33" s="1"/>
  <c r="M113" i="33" s="1"/>
  <c r="H37" i="33"/>
  <c r="AB37" i="33" s="1"/>
  <c r="AA37" i="33"/>
  <c r="H36" i="33"/>
  <c r="U36" i="33"/>
  <c r="S25" i="33"/>
  <c r="F17" i="33"/>
  <c r="H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c r="H89" i="35" s="1"/>
  <c r="I89" i="35" s="1"/>
  <c r="J89" i="35" s="1"/>
  <c r="K89" i="35" s="1"/>
  <c r="L89" i="35" s="1"/>
  <c r="M89" i="35" s="1"/>
  <c r="H10" i="36"/>
  <c r="AB10" i="36"/>
  <c r="F83" i="36"/>
  <c r="G83" i="36"/>
  <c r="H83" i="36" s="1"/>
  <c r="I83" i="36"/>
  <c r="J83" i="36" s="1"/>
  <c r="K83" i="36" s="1"/>
  <c r="L83" i="36" s="1"/>
  <c r="M83" i="36" s="1"/>
  <c r="F28" i="36"/>
  <c r="AA28" i="36"/>
  <c r="J13" i="33"/>
  <c r="AC13" i="33"/>
  <c r="H13" i="33"/>
  <c r="AB13" i="33"/>
  <c r="F13" i="33"/>
  <c r="S13" i="33"/>
  <c r="J29" i="33"/>
  <c r="H29" i="33"/>
  <c r="U29" i="33" s="1"/>
  <c r="F29" i="33"/>
  <c r="J31" i="33"/>
  <c r="W31" i="33" s="1"/>
  <c r="H31" i="33"/>
  <c r="F31" i="33"/>
  <c r="AA31" i="33" s="1"/>
  <c r="H45" i="33"/>
  <c r="U45" i="33" s="1"/>
  <c r="J45" i="33"/>
  <c r="W45" i="33" s="1"/>
  <c r="F45" i="33"/>
  <c r="S45" i="33" s="1"/>
  <c r="J14" i="34"/>
  <c r="W14" i="34" s="1"/>
  <c r="F14" i="34"/>
  <c r="AA14" i="34" s="1"/>
  <c r="H14" i="34"/>
  <c r="U14" i="34"/>
  <c r="F32" i="34"/>
  <c r="H46" i="34"/>
  <c r="F46" i="34"/>
  <c r="J46" i="34"/>
  <c r="W46" i="34" s="1"/>
  <c r="H11" i="35"/>
  <c r="J11" i="35"/>
  <c r="AC11" i="35" s="1"/>
  <c r="F11" i="35"/>
  <c r="J26" i="36"/>
  <c r="W26" i="36" s="1"/>
  <c r="H28" i="36"/>
  <c r="U28" i="36" s="1"/>
  <c r="H32" i="36"/>
  <c r="J32" i="36"/>
  <c r="J11" i="36"/>
  <c r="W11" i="36" s="1"/>
  <c r="H11" i="36"/>
  <c r="AB11" i="36" s="1"/>
  <c r="F11" i="36"/>
  <c r="H13" i="36"/>
  <c r="J13" i="36"/>
  <c r="F13" i="36"/>
  <c r="S13" i="36" s="1"/>
  <c r="H36" i="37"/>
  <c r="AB36" i="37" s="1"/>
  <c r="H37" i="37"/>
  <c r="U37" i="37" s="1"/>
  <c r="AC12" i="40"/>
  <c r="W12" i="40"/>
  <c r="H14" i="33"/>
  <c r="F14" i="33"/>
  <c r="AA14" i="33" s="1"/>
  <c r="J14" i="33"/>
  <c r="AC14" i="33" s="1"/>
  <c r="H30" i="33"/>
  <c r="AB30" i="33" s="1"/>
  <c r="F30" i="33"/>
  <c r="J30" i="33"/>
  <c r="H44" i="33"/>
  <c r="J44" i="33"/>
  <c r="F44" i="33"/>
  <c r="S44" i="33" s="1"/>
  <c r="J46" i="33"/>
  <c r="F46" i="33"/>
  <c r="AA46" i="33" s="1"/>
  <c r="H46" i="33"/>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H25" i="36"/>
  <c r="AB25" i="36" s="1"/>
  <c r="H13" i="37"/>
  <c r="U13" i="37" s="1"/>
  <c r="F13" i="37"/>
  <c r="S13" i="37" s="1"/>
  <c r="J13" i="37"/>
  <c r="W13" i="37" s="1"/>
  <c r="F28" i="37"/>
  <c r="J28" i="37"/>
  <c r="H28" i="37"/>
  <c r="H38" i="37"/>
  <c r="AB38" i="37" s="1"/>
  <c r="J38" i="37"/>
  <c r="AC38" i="37" s="1"/>
  <c r="F38" i="37"/>
  <c r="S38" i="37" s="1"/>
  <c r="F43" i="39"/>
  <c r="AA43" i="39" s="1"/>
  <c r="H43" i="39"/>
  <c r="U43" i="39" s="1"/>
  <c r="J14" i="39"/>
  <c r="H14" i="39"/>
  <c r="AB14" i="39" s="1"/>
  <c r="F12" i="40"/>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J10" i="36"/>
  <c r="AC10" i="36"/>
  <c r="AB46" i="21"/>
  <c r="U14" i="21"/>
  <c r="AC14" i="21"/>
  <c r="S46" i="33"/>
  <c r="AC11" i="36"/>
  <c r="AB45" i="33"/>
  <c r="AC29" i="33"/>
  <c r="W29" i="33"/>
  <c r="AB28" i="33"/>
  <c r="U42" i="21"/>
  <c r="S33" i="21"/>
  <c r="J41" i="39"/>
  <c r="W41" i="39" s="1"/>
  <c r="AC45" i="39"/>
  <c r="U36" i="39"/>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U11" i="40"/>
  <c r="AC33" i="36"/>
  <c r="AB20" i="35"/>
  <c r="AC12" i="35"/>
  <c r="U39" i="37"/>
  <c r="S25" i="37"/>
  <c r="W47" i="34"/>
  <c r="AB8" i="34"/>
  <c r="W14" i="33"/>
  <c r="AA13" i="33"/>
  <c r="AB10" i="33"/>
  <c r="AC33" i="21"/>
  <c r="AB38" i="21"/>
  <c r="AA23" i="37"/>
  <c r="W10" i="36"/>
  <c r="W38" i="37"/>
  <c r="H37" i="21"/>
  <c r="U37" i="21"/>
  <c r="J37" i="21"/>
  <c r="W37" i="21"/>
  <c r="H19" i="34"/>
  <c r="U19" i="34"/>
  <c r="F36" i="35"/>
  <c r="AA36" i="35"/>
  <c r="J9" i="37"/>
  <c r="W9" i="37"/>
  <c r="H9" i="37"/>
  <c r="AB9" i="37"/>
  <c r="F9" i="37"/>
  <c r="AA9" i="37"/>
  <c r="F11" i="37"/>
  <c r="S11" i="37"/>
  <c r="J42" i="39"/>
  <c r="AC42" i="39"/>
  <c r="AC9" i="37"/>
  <c r="AB37" i="21"/>
  <c r="AB27" i="40"/>
  <c r="AC31" i="39"/>
  <c r="U31" i="39"/>
  <c r="C12" i="43"/>
  <c r="D15" i="47"/>
  <c r="D17" i="47"/>
  <c r="D19" i="47"/>
  <c r="D21" i="47"/>
  <c r="D23" i="47"/>
  <c r="D27" i="47"/>
  <c r="D33" i="47"/>
  <c r="D37" i="47"/>
  <c r="D39" i="47"/>
  <c r="D41" i="47"/>
  <c r="D43" i="47"/>
  <c r="D16" i="47"/>
  <c r="D18" i="47"/>
  <c r="D20" i="47"/>
  <c r="F15" i="47"/>
  <c r="B13" i="47" s="1"/>
  <c r="D22" i="47"/>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J25" i="39"/>
  <c r="F25" i="39"/>
  <c r="S25" i="39" s="1"/>
  <c r="F15" i="39"/>
  <c r="H15" i="39"/>
  <c r="U15" i="39" s="1"/>
  <c r="J15" i="39"/>
  <c r="W15" i="39" s="1"/>
  <c r="H41" i="39"/>
  <c r="F11" i="39"/>
  <c r="AA11" i="39" s="1"/>
  <c r="H21" i="39"/>
  <c r="F32" i="39"/>
  <c r="S32" i="39" s="1"/>
  <c r="W29" i="39"/>
  <c r="U34" i="39"/>
  <c r="S41" i="39"/>
  <c r="W39" i="39"/>
  <c r="W8" i="39"/>
  <c r="W21" i="39"/>
  <c r="J11" i="39"/>
  <c r="W11" i="39"/>
  <c r="J32" i="39"/>
  <c r="AC32" i="39"/>
  <c r="E66" i="39"/>
  <c r="E61" i="40"/>
  <c r="F34" i="43"/>
  <c r="C21" i="11"/>
  <c r="H55" i="39"/>
  <c r="G60" i="40"/>
  <c r="C60" i="40" s="1"/>
  <c r="H16" i="44"/>
  <c r="D17" i="43"/>
  <c r="I17" i="43"/>
  <c r="D108" i="9"/>
  <c r="F22" i="43"/>
  <c r="G22" i="43"/>
  <c r="H14" i="44"/>
  <c r="W40" i="39"/>
  <c r="AC20" i="35"/>
  <c r="S39" i="34"/>
  <c r="AB12" i="34"/>
  <c r="H23" i="34"/>
  <c r="AB23" i="34"/>
  <c r="F33" i="34"/>
  <c r="S33" i="34" s="1"/>
  <c r="H36" i="34"/>
  <c r="AB36" i="34" s="1"/>
  <c r="F35" i="34"/>
  <c r="AA35" i="34" s="1"/>
  <c r="J35" i="34"/>
  <c r="AC35" i="34" s="1"/>
  <c r="F27" i="34"/>
  <c r="S27" i="34" s="1"/>
  <c r="W34" i="34"/>
  <c r="J33" i="34"/>
  <c r="W33" i="34" s="1"/>
  <c r="J37" i="34"/>
  <c r="W37" i="34" s="1"/>
  <c r="S23" i="34"/>
  <c r="J26" i="35"/>
  <c r="W26" i="35" s="1"/>
  <c r="F26" i="35"/>
  <c r="AA26" i="35" s="1"/>
  <c r="H26" i="35"/>
  <c r="U26" i="35" s="1"/>
  <c r="U28" i="21"/>
  <c r="K145" i="21"/>
  <c r="K144" i="21"/>
  <c r="K141" i="21"/>
  <c r="K143" i="21"/>
  <c r="W25" i="21"/>
  <c r="F23" i="21"/>
  <c r="AA23" i="21"/>
  <c r="J23" i="21"/>
  <c r="AC23" i="21"/>
  <c r="H23" i="21"/>
  <c r="U23" i="21"/>
  <c r="F17" i="21"/>
  <c r="AA17" i="21"/>
  <c r="J17" i="21"/>
  <c r="AC17" i="21"/>
  <c r="H17" i="21"/>
  <c r="AB17" i="21"/>
  <c r="J15" i="21"/>
  <c r="W15" i="21"/>
  <c r="AC35" i="21"/>
  <c r="A131" i="9"/>
  <c r="D128" i="57"/>
  <c r="S23" i="21"/>
  <c r="W17" i="21"/>
  <c r="AC15" i="2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395" i="31"/>
  <c r="S363" i="31"/>
  <c r="S331" i="31"/>
  <c r="T311" i="31"/>
  <c r="T295" i="31"/>
  <c r="T279" i="31"/>
  <c r="T263" i="31"/>
  <c r="T261" i="31"/>
  <c r="T259" i="31"/>
  <c r="S85" i="31"/>
  <c r="S469" i="31"/>
  <c r="S135" i="31"/>
  <c r="S167" i="31"/>
  <c r="S199" i="31"/>
  <c r="D47" i="15"/>
  <c r="AB12" i="37"/>
  <c r="J37" i="37"/>
  <c r="W37" i="37" s="1"/>
  <c r="AB40" i="37"/>
  <c r="U40" i="37"/>
  <c r="U15" i="21"/>
  <c r="AA16" i="35"/>
  <c r="S14" i="39"/>
  <c r="AB29" i="35"/>
  <c r="U29" i="35"/>
  <c r="AA35" i="39"/>
  <c r="U25" i="35"/>
  <c r="U36" i="37"/>
  <c r="S14" i="34"/>
  <c r="W44" i="21"/>
  <c r="U38" i="34"/>
  <c r="F40" i="34"/>
  <c r="AA40" i="34"/>
  <c r="U20" i="36"/>
  <c r="AA16" i="36"/>
  <c r="W44" i="39"/>
  <c r="F13" i="21"/>
  <c r="AA13" i="21" s="1"/>
  <c r="J45" i="21"/>
  <c r="AC45" i="21" s="1"/>
  <c r="B41" i="47"/>
  <c r="W8" i="34"/>
  <c r="W12" i="34"/>
  <c r="AC12" i="34"/>
  <c r="J9" i="34"/>
  <c r="F9" i="34"/>
  <c r="S9" i="34" s="1"/>
  <c r="AA19" i="34"/>
  <c r="S19" i="34"/>
  <c r="AB23" i="36"/>
  <c r="U23" i="36"/>
  <c r="J12" i="36"/>
  <c r="H12" i="36"/>
  <c r="AB12" i="36" s="1"/>
  <c r="AA9" i="39"/>
  <c r="S9" i="39"/>
  <c r="AB12" i="39"/>
  <c r="U12" i="39"/>
  <c r="J12" i="39"/>
  <c r="W12" i="39" s="1"/>
  <c r="F12" i="39"/>
  <c r="S12" i="39"/>
  <c r="R29" i="31"/>
  <c r="T29" i="31" s="1"/>
  <c r="F15" i="21"/>
  <c r="AA30" i="21"/>
  <c r="J36" i="34"/>
  <c r="W36" i="34" s="1"/>
  <c r="S8" i="34"/>
  <c r="J19" i="40"/>
  <c r="AC19" i="40"/>
  <c r="W9" i="39"/>
  <c r="U14" i="39"/>
  <c r="H32" i="39"/>
  <c r="U32" i="39"/>
  <c r="F21" i="39"/>
  <c r="AA21" i="39"/>
  <c r="F31" i="37"/>
  <c r="AA31" i="37" s="1"/>
  <c r="U25" i="36"/>
  <c r="S44" i="21"/>
  <c r="AC36" i="40"/>
  <c r="F17" i="37"/>
  <c r="AA17" i="37"/>
  <c r="AB28" i="36"/>
  <c r="AB13" i="40"/>
  <c r="U33" i="40"/>
  <c r="AB13" i="37"/>
  <c r="U11" i="36"/>
  <c r="J14" i="36"/>
  <c r="AC14" i="36"/>
  <c r="AC30" i="21"/>
  <c r="S15" i="34"/>
  <c r="J40" i="34"/>
  <c r="AC40" i="34"/>
  <c r="H19" i="33"/>
  <c r="AB19" i="33" s="1"/>
  <c r="AB23" i="33"/>
  <c r="U23" i="33"/>
  <c r="W23" i="33"/>
  <c r="AA41" i="33"/>
  <c r="J23" i="34"/>
  <c r="W23" i="34" s="1"/>
  <c r="AC30" i="40"/>
  <c r="W22" i="35"/>
  <c r="S30" i="36"/>
  <c r="S38" i="21"/>
  <c r="AA38" i="21"/>
  <c r="E106" i="21"/>
  <c r="F106" i="21" s="1"/>
  <c r="G106" i="21"/>
  <c r="H106" i="21" s="1"/>
  <c r="I106" i="21" s="1"/>
  <c r="J106" i="21" s="1"/>
  <c r="K106" i="21" s="1"/>
  <c r="L106" i="21" s="1"/>
  <c r="M106" i="21" s="1"/>
  <c r="F34" i="21"/>
  <c r="S34" i="21"/>
  <c r="H34" i="21"/>
  <c r="U34" i="21"/>
  <c r="J34" i="21"/>
  <c r="AC34" i="21"/>
  <c r="W36" i="21"/>
  <c r="F32" i="33"/>
  <c r="AA32" i="33" s="1"/>
  <c r="H9" i="34"/>
  <c r="W27" i="34"/>
  <c r="AC27" i="34"/>
  <c r="E116" i="34"/>
  <c r="F116" i="34" s="1"/>
  <c r="G116" i="34" s="1"/>
  <c r="H116" i="34" s="1"/>
  <c r="I116" i="34" s="1"/>
  <c r="J116" i="34" s="1"/>
  <c r="K116" i="34" s="1"/>
  <c r="L116" i="34" s="1"/>
  <c r="M116" i="34" s="1"/>
  <c r="J39" i="34"/>
  <c r="W39" i="34"/>
  <c r="J27" i="36"/>
  <c r="F37" i="34"/>
  <c r="H37" i="34"/>
  <c r="U37" i="34" s="1"/>
  <c r="F26" i="47"/>
  <c r="B24" i="47" s="1"/>
  <c r="AA32" i="37"/>
  <c r="U12" i="40"/>
  <c r="AC46" i="34"/>
  <c r="S31" i="33"/>
  <c r="U10" i="36"/>
  <c r="W28" i="33"/>
  <c r="AC34" i="33"/>
  <c r="AA14" i="35"/>
  <c r="S14" i="35"/>
  <c r="W11" i="21"/>
  <c r="H27" i="21"/>
  <c r="J27" i="21"/>
  <c r="W27" i="21" s="1"/>
  <c r="F27" i="21"/>
  <c r="AA27" i="21" s="1"/>
  <c r="J29" i="21"/>
  <c r="H29" i="21"/>
  <c r="U29" i="21" s="1"/>
  <c r="F29" i="21"/>
  <c r="AA29" i="21" s="1"/>
  <c r="F31" i="21"/>
  <c r="H39" i="21"/>
  <c r="U39" i="21" s="1"/>
  <c r="F117" i="21"/>
  <c r="G117" i="21" s="1"/>
  <c r="S9" i="21"/>
  <c r="AA15" i="33"/>
  <c r="AA35" i="33"/>
  <c r="F117" i="33"/>
  <c r="G117" i="33" s="1"/>
  <c r="J39" i="33"/>
  <c r="AC39" i="33" s="1"/>
  <c r="E125" i="33"/>
  <c r="F125" i="33" s="1"/>
  <c r="H43" i="33"/>
  <c r="U43" i="33"/>
  <c r="E91" i="33"/>
  <c r="F91" i="33"/>
  <c r="G91" i="33" s="1"/>
  <c r="H91" i="33"/>
  <c r="I91" i="33" s="1"/>
  <c r="J91" i="33" s="1"/>
  <c r="K91" i="33" s="1"/>
  <c r="L91" i="33" s="1"/>
  <c r="M91" i="33" s="1"/>
  <c r="F27" i="33"/>
  <c r="H41" i="33"/>
  <c r="S12" i="34"/>
  <c r="AA12" i="34"/>
  <c r="AA11" i="34"/>
  <c r="F80" i="34"/>
  <c r="G80" i="34" s="1"/>
  <c r="H17" i="34"/>
  <c r="U17" i="34"/>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H16" i="36"/>
  <c r="U16" i="36" s="1"/>
  <c r="U32" i="37"/>
  <c r="F101" i="21"/>
  <c r="G101" i="21" s="1"/>
  <c r="H101" i="21"/>
  <c r="I101" i="21" s="1"/>
  <c r="J101" i="21" s="1"/>
  <c r="K101" i="21" s="1"/>
  <c r="L101" i="21" s="1"/>
  <c r="M101" i="21" s="1"/>
  <c r="F32" i="21"/>
  <c r="S32" i="21" s="1"/>
  <c r="J32" i="21"/>
  <c r="H32" i="21"/>
  <c r="U32" i="21" s="1"/>
  <c r="F40" i="21"/>
  <c r="H40" i="21"/>
  <c r="AB40" i="21" s="1"/>
  <c r="J40" i="21"/>
  <c r="B44" i="47"/>
  <c r="AC33" i="33"/>
  <c r="W33" i="33"/>
  <c r="S34" i="33"/>
  <c r="S38" i="33"/>
  <c r="AC38" i="33"/>
  <c r="W38" i="33"/>
  <c r="J9" i="33"/>
  <c r="AC9" i="33"/>
  <c r="F9" i="33"/>
  <c r="AA9" i="33"/>
  <c r="S10" i="34"/>
  <c r="F25" i="34"/>
  <c r="S25" i="34"/>
  <c r="H44" i="34"/>
  <c r="U44" i="34" s="1"/>
  <c r="AB26" i="36"/>
  <c r="U26" i="36"/>
  <c r="F20" i="36"/>
  <c r="AA20" i="36" s="1"/>
  <c r="J24" i="36"/>
  <c r="W24" i="36" s="1"/>
  <c r="H24" i="36"/>
  <c r="U24" i="36" s="1"/>
  <c r="F24" i="36"/>
  <c r="AA32" i="36"/>
  <c r="S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N6" i="43"/>
  <c r="F59" i="43" s="1"/>
  <c r="M1" i="43"/>
  <c r="F101" i="9"/>
  <c r="F33" i="9"/>
  <c r="C25" i="57"/>
  <c r="N102" i="43"/>
  <c r="G103" i="43"/>
  <c r="W40" i="40"/>
  <c r="U15" i="37"/>
  <c r="AB24" i="36"/>
  <c r="H25" i="34"/>
  <c r="U25" i="34"/>
  <c r="AB35" i="39"/>
  <c r="AC40" i="37"/>
  <c r="S27" i="37"/>
  <c r="AA12" i="37"/>
  <c r="AA34" i="35"/>
  <c r="S34" i="35"/>
  <c r="AB24" i="35"/>
  <c r="J17" i="34"/>
  <c r="AC17" i="34" s="1"/>
  <c r="F17" i="34"/>
  <c r="AA17" i="34"/>
  <c r="AB27" i="33"/>
  <c r="F43" i="33"/>
  <c r="S43" i="33"/>
  <c r="G125" i="33"/>
  <c r="J43" i="33"/>
  <c r="AC43" i="33"/>
  <c r="S29" i="21"/>
  <c r="AC27" i="21"/>
  <c r="H27" i="36"/>
  <c r="F27" i="36"/>
  <c r="AB34" i="21"/>
  <c r="H11" i="34"/>
  <c r="U11" i="34" s="1"/>
  <c r="S17" i="37"/>
  <c r="J11" i="37"/>
  <c r="AC12" i="39"/>
  <c r="AC37" i="37"/>
  <c r="U38" i="40"/>
  <c r="F23" i="39"/>
  <c r="AA23" i="39" s="1"/>
  <c r="S26" i="37"/>
  <c r="F44" i="34"/>
  <c r="AA44" i="34" s="1"/>
  <c r="G126" i="34"/>
  <c r="J44" i="34"/>
  <c r="AC44" i="34"/>
  <c r="W27" i="37"/>
  <c r="AB27" i="37"/>
  <c r="H10" i="37"/>
  <c r="U10" i="37" s="1"/>
  <c r="S24" i="35"/>
  <c r="AB43" i="33"/>
  <c r="AB29" i="21"/>
  <c r="AC27" i="36"/>
  <c r="W27" i="36"/>
  <c r="F101" i="33"/>
  <c r="G101" i="33" s="1"/>
  <c r="H101" i="33" s="1"/>
  <c r="I101" i="33" s="1"/>
  <c r="J101" i="33" s="1"/>
  <c r="K101" i="33" s="1"/>
  <c r="L101" i="33" s="1"/>
  <c r="M101" i="33" s="1"/>
  <c r="J32" i="33"/>
  <c r="W32" i="33" s="1"/>
  <c r="H32" i="33"/>
  <c r="AB32" i="33" s="1"/>
  <c r="W40" i="34"/>
  <c r="U12" i="36"/>
  <c r="W45" i="21"/>
  <c r="S44" i="34"/>
  <c r="AB25" i="34"/>
  <c r="J10" i="37"/>
  <c r="AC10" i="37" s="1"/>
  <c r="H23" i="39"/>
  <c r="J11" i="34"/>
  <c r="W11" i="34" s="1"/>
  <c r="J27" i="33"/>
  <c r="W17" i="34"/>
  <c r="J25" i="34"/>
  <c r="W25"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37" i="11"/>
  <c r="C37" i="11" s="1"/>
  <c r="M29" i="15"/>
  <c r="P51" i="15"/>
  <c r="D10" i="11"/>
  <c r="P60" i="15"/>
  <c r="D3" i="35"/>
  <c r="D3" i="34"/>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AA35" i="40"/>
  <c r="AC38" i="39"/>
  <c r="AC17" i="39"/>
  <c r="AA37" i="39"/>
  <c r="AB29" i="39"/>
  <c r="S23" i="39"/>
  <c r="S21" i="39"/>
  <c r="AC23" i="39"/>
  <c r="W27" i="39"/>
  <c r="AC27" i="39"/>
  <c r="W35" i="39"/>
  <c r="AC15" i="39"/>
  <c r="AB15" i="39"/>
  <c r="AB13" i="39"/>
  <c r="AB27" i="39"/>
  <c r="U27" i="39"/>
  <c r="AA27" i="39"/>
  <c r="S27" i="39"/>
  <c r="S40" i="39"/>
  <c r="S31" i="39"/>
  <c r="AC11" i="39"/>
  <c r="AA12" i="39"/>
  <c r="S13" i="39"/>
  <c r="AC24" i="36"/>
  <c r="S12" i="36"/>
  <c r="S22" i="36"/>
  <c r="AC16" i="36"/>
  <c r="W14" i="36"/>
  <c r="S26" i="36"/>
  <c r="AC26" i="36"/>
  <c r="S14" i="36"/>
  <c r="U14" i="36"/>
  <c r="S10" i="36"/>
  <c r="W18" i="36"/>
  <c r="AC18" i="36"/>
  <c r="W25" i="36"/>
  <c r="AC20" i="36"/>
  <c r="W28" i="36"/>
  <c r="W8" i="36"/>
  <c r="AB16" i="36"/>
  <c r="AB18" i="36"/>
  <c r="U18" i="36"/>
  <c r="S28" i="36"/>
  <c r="S29" i="36"/>
  <c r="W35" i="35"/>
  <c r="W24" i="35"/>
  <c r="AC25" i="35"/>
  <c r="S23" i="35"/>
  <c r="AB23" i="35"/>
  <c r="W11" i="35"/>
  <c r="AA12" i="35"/>
  <c r="W10" i="35"/>
  <c r="AB16" i="35"/>
  <c r="W14" i="35"/>
  <c r="W34" i="35"/>
  <c r="AC26" i="35"/>
  <c r="W28" i="35"/>
  <c r="AC27" i="35"/>
  <c r="U35" i="35"/>
  <c r="AB10" i="35"/>
  <c r="U8" i="35"/>
  <c r="AB12" i="35"/>
  <c r="AA13" i="35"/>
  <c r="S20" i="35"/>
  <c r="AB13" i="35"/>
  <c r="S10" i="35"/>
  <c r="S34" i="37"/>
  <c r="W32" i="37"/>
  <c r="W26"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4" i="37"/>
  <c r="AC19" i="37"/>
  <c r="W39" i="37"/>
  <c r="AB11" i="37"/>
  <c r="S37" i="37"/>
  <c r="AA14" i="37"/>
  <c r="AA38" i="37"/>
  <c r="AC39" i="34"/>
  <c r="AB11" i="34"/>
  <c r="S40" i="34"/>
  <c r="S38" i="34"/>
  <c r="S43" i="34"/>
  <c r="AB19" i="34"/>
  <c r="S17" i="34"/>
  <c r="AB17" i="34"/>
  <c r="AA9" i="34"/>
  <c r="W15" i="34"/>
  <c r="W31" i="34"/>
  <c r="U23" i="34"/>
  <c r="U36" i="34"/>
  <c r="U21" i="34"/>
  <c r="AB21" i="34"/>
  <c r="AA25" i="34"/>
  <c r="W42" i="33"/>
  <c r="U25" i="33"/>
  <c r="W11" i="33"/>
  <c r="W25" i="33"/>
  <c r="U34" i="33"/>
  <c r="W37" i="33"/>
  <c r="W43" i="33"/>
  <c r="AC41" i="33"/>
  <c r="AA45" i="33"/>
  <c r="S23" i="33"/>
  <c r="W17" i="33"/>
  <c r="AB9" i="33"/>
  <c r="S10" i="33"/>
  <c r="AC12" i="33"/>
  <c r="W39" i="33"/>
  <c r="W9" i="33"/>
  <c r="W13" i="33"/>
  <c r="AC19" i="33"/>
  <c r="W21" i="33"/>
  <c r="AC21" i="33"/>
  <c r="AB42" i="33"/>
  <c r="U13" i="33"/>
  <c r="U39" i="33"/>
  <c r="S42" i="33"/>
  <c r="S9" i="33"/>
  <c r="W42" i="21"/>
  <c r="AA39" i="21"/>
  <c r="W39" i="21"/>
  <c r="AA34" i="21"/>
  <c r="AC26" i="21"/>
  <c r="AB39" i="21"/>
  <c r="AC37" i="21"/>
  <c r="W34" i="21"/>
  <c r="AC28" i="21"/>
  <c r="AB23" i="21"/>
  <c r="U19" i="21"/>
  <c r="U43" i="21"/>
  <c r="U26" i="21"/>
  <c r="AB44" i="21"/>
  <c r="U30" i="21"/>
  <c r="AB36" i="21"/>
  <c r="S17" i="21"/>
  <c r="AA36" i="21"/>
  <c r="AA43" i="21"/>
  <c r="AB32" i="21"/>
  <c r="S28" i="21"/>
  <c r="AB21" i="21"/>
  <c r="U21" i="21"/>
  <c r="AC19" i="21"/>
  <c r="U17" i="21"/>
  <c r="S13" i="21"/>
  <c r="U12" i="21"/>
  <c r="AB11" i="21"/>
  <c r="U10" i="21"/>
  <c r="AB8" i="21"/>
  <c r="AA11" i="21"/>
  <c r="AA14" i="21"/>
  <c r="S8" i="21"/>
  <c r="S507" i="31"/>
  <c r="S485" i="31"/>
  <c r="S451" i="31"/>
  <c r="S73" i="31"/>
  <c r="S65" i="31"/>
  <c r="S57" i="31"/>
  <c r="S41" i="31"/>
  <c r="S209" i="31"/>
  <c r="S177" i="31"/>
  <c r="S145" i="31"/>
  <c r="S435" i="31"/>
  <c r="S95" i="31"/>
  <c r="S511" i="31"/>
  <c r="S349" i="31"/>
  <c r="S381" i="31"/>
  <c r="S413" i="31"/>
  <c r="S55" i="31"/>
  <c r="S479" i="31"/>
  <c r="D33" i="50"/>
  <c r="D12" i="50"/>
  <c r="B26" i="60" s="1"/>
  <c r="D34" i="50"/>
  <c r="D13" i="50"/>
  <c r="B27" i="60" s="1"/>
  <c r="D31" i="50"/>
  <c r="D32" i="50" s="1"/>
  <c r="D10" i="50"/>
  <c r="D11" i="50" s="1"/>
  <c r="B25" i="60" s="1"/>
  <c r="D112" i="57"/>
  <c r="D35" i="50"/>
  <c r="D14" i="50"/>
  <c r="B28" i="60" s="1"/>
  <c r="C18" i="9"/>
  <c r="D18" i="9"/>
  <c r="D22" i="15"/>
  <c r="C37" i="57"/>
  <c r="F125" i="57" s="1"/>
  <c r="V25" i="31"/>
  <c r="H102" i="43"/>
  <c r="D3" i="21"/>
  <c r="M6" i="43"/>
  <c r="M5" i="43"/>
  <c r="F81" i="43"/>
  <c r="H85" i="43" s="1"/>
  <c r="H13" i="44"/>
  <c r="G59" i="40"/>
  <c r="C59" i="40" s="1"/>
  <c r="H11" i="44"/>
  <c r="C51" i="10"/>
  <c r="A8" i="54"/>
  <c r="B8" i="60" s="1"/>
  <c r="F2" i="21"/>
  <c r="F2" i="33"/>
  <c r="A18" i="54"/>
  <c r="B15" i="60" s="1"/>
  <c r="T434" i="31"/>
  <c r="F117" i="9"/>
  <c r="A132" i="9"/>
  <c r="D24" i="15"/>
  <c r="M20" i="15"/>
  <c r="D9" i="11"/>
  <c r="D19" i="11"/>
  <c r="G22" i="11"/>
  <c r="G41" i="11"/>
  <c r="E48" i="43"/>
  <c r="H113" i="43"/>
  <c r="X7" i="43"/>
  <c r="E59" i="43"/>
  <c r="B57" i="43" s="1"/>
  <c r="C24" i="43" s="1"/>
  <c r="E70" i="43"/>
  <c r="B68" i="43"/>
  <c r="AI11" i="43"/>
  <c r="AI13" i="43" s="1"/>
  <c r="AG11" i="43"/>
  <c r="AE11" i="43"/>
  <c r="AE13" i="43" s="1"/>
  <c r="AC11" i="43"/>
  <c r="AA11" i="43"/>
  <c r="AA13" i="43" s="1"/>
  <c r="Y11" i="43"/>
  <c r="Y13" i="43" s="1"/>
  <c r="AJ11" i="43"/>
  <c r="AJ13" i="43" s="1"/>
  <c r="AH11" i="43"/>
  <c r="AF11" i="43"/>
  <c r="AF13" i="43" s="1"/>
  <c r="AD11" i="43"/>
  <c r="AB11" i="43"/>
  <c r="AB13" i="43" s="1"/>
  <c r="Z11" i="43"/>
  <c r="Z7" i="43"/>
  <c r="B46" i="43"/>
  <c r="E9" i="43"/>
  <c r="E8" i="43"/>
  <c r="E10" i="43"/>
  <c r="E11" i="43"/>
  <c r="C7" i="39"/>
  <c r="C68" i="39" s="1"/>
  <c r="C70" i="39" s="1"/>
  <c r="D123" i="9"/>
  <c r="D6" i="52" s="1"/>
  <c r="D124" i="9"/>
  <c r="D7" i="52"/>
  <c r="B58" i="60"/>
  <c r="L109" i="43"/>
  <c r="K106" i="43"/>
  <c r="C104" i="43"/>
  <c r="A125" i="57"/>
  <c r="N104" i="46"/>
  <c r="J17" i="43"/>
  <c r="C7" i="21"/>
  <c r="C58" i="21" s="1"/>
  <c r="D58" i="21" s="1"/>
  <c r="C7" i="37"/>
  <c r="C52" i="37" s="1"/>
  <c r="D52" i="37" s="1"/>
  <c r="E52" i="37" s="1"/>
  <c r="F52" i="37" s="1"/>
  <c r="L104" i="43"/>
  <c r="H104" i="43"/>
  <c r="D105" i="43"/>
  <c r="D102" i="43"/>
  <c r="K103" i="43"/>
  <c r="G104" i="43"/>
  <c r="C105" i="43"/>
  <c r="D115" i="43"/>
  <c r="E115" i="43" s="1"/>
  <c r="F115" i="43" s="1"/>
  <c r="B117" i="43"/>
  <c r="C117" i="43" s="1"/>
  <c r="G37" i="47"/>
  <c r="G19" i="43"/>
  <c r="O19" i="43" s="1"/>
  <c r="F36" i="43"/>
  <c r="C17" i="43"/>
  <c r="F35" i="43"/>
  <c r="F37" i="43"/>
  <c r="F39" i="43"/>
  <c r="K17" i="43"/>
  <c r="C7" i="36"/>
  <c r="C46" i="36" s="1"/>
  <c r="F38" i="43"/>
  <c r="K86" i="43"/>
  <c r="J86" i="43" s="1"/>
  <c r="D86" i="43"/>
  <c r="M87" i="43"/>
  <c r="N87" i="43"/>
  <c r="K82" i="43"/>
  <c r="J82" i="43"/>
  <c r="D82" i="43"/>
  <c r="M83" i="43"/>
  <c r="N83" i="43" s="1"/>
  <c r="D117" i="43"/>
  <c r="E117" i="43" s="1"/>
  <c r="F117" i="43" s="1"/>
  <c r="G117" i="43" s="1"/>
  <c r="H117" i="43" s="1"/>
  <c r="B116" i="43"/>
  <c r="C116" i="43" s="1"/>
  <c r="F106" i="43"/>
  <c r="M12" i="43"/>
  <c r="M8" i="43"/>
  <c r="N7" i="43"/>
  <c r="M3" i="43"/>
  <c r="M11" i="43"/>
  <c r="N8" i="43"/>
  <c r="H8" i="44"/>
  <c r="H12" i="44"/>
  <c r="C63" i="39"/>
  <c r="G64" i="39"/>
  <c r="C64" i="39" s="1"/>
  <c r="M85" i="43"/>
  <c r="N85" i="43"/>
  <c r="K85" i="43"/>
  <c r="J85" i="43"/>
  <c r="D85" i="43"/>
  <c r="M82" i="43"/>
  <c r="N82" i="43" s="1"/>
  <c r="K83" i="43"/>
  <c r="J83" i="43" s="1"/>
  <c r="D83" i="43"/>
  <c r="H81" i="43"/>
  <c r="F103" i="43"/>
  <c r="J104" i="43"/>
  <c r="N105" i="43"/>
  <c r="E106" i="43"/>
  <c r="M107"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C21" i="34" s="1"/>
  <c r="AB40" i="34"/>
  <c r="AC19" i="34"/>
  <c r="AC23" i="34"/>
  <c r="AB37" i="34"/>
  <c r="AA45" i="34"/>
  <c r="AB45" i="34"/>
  <c r="W29" i="34"/>
  <c r="U34" i="34"/>
  <c r="S34" i="34"/>
  <c r="AC25" i="34"/>
  <c r="W44" i="34"/>
  <c r="AB44" i="34"/>
  <c r="S35" i="34"/>
  <c r="AB47" i="34"/>
  <c r="U31" i="34"/>
  <c r="AB14" i="34"/>
  <c r="AC45" i="34"/>
  <c r="AA29" i="34"/>
  <c r="AC13" i="34"/>
  <c r="AB13" i="34"/>
  <c r="U10" i="34"/>
  <c r="S13" i="34"/>
  <c r="AB29" i="34"/>
  <c r="U37" i="33"/>
  <c r="U19" i="33"/>
  <c r="AC32" i="33"/>
  <c r="AA43" i="33"/>
  <c r="S32" i="33"/>
  <c r="U33" i="33"/>
  <c r="AA28" i="33"/>
  <c r="U30" i="33"/>
  <c r="S39" i="33"/>
  <c r="AB26" i="33"/>
  <c r="AA36" i="33"/>
  <c r="W35" i="33"/>
  <c r="W40" i="33"/>
  <c r="S33" i="33"/>
  <c r="U35" i="33"/>
  <c r="U32" i="33"/>
  <c r="AC45" i="33"/>
  <c r="AB29" i="33"/>
  <c r="AB36" i="33"/>
  <c r="W15" i="33"/>
  <c r="AA19" i="33"/>
  <c r="W8" i="33"/>
  <c r="G83" i="21"/>
  <c r="J21" i="21"/>
  <c r="S27"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W21" i="34"/>
  <c r="AC21" i="21"/>
  <c r="W21" i="21"/>
  <c r="M86" i="43"/>
  <c r="N86" i="43"/>
  <c r="F34" i="11"/>
  <c r="E19" i="1"/>
  <c r="D20" i="1"/>
  <c r="D18" i="1"/>
  <c r="F50" i="11"/>
  <c r="F19" i="1"/>
  <c r="F18" i="1"/>
  <c r="D19" i="1"/>
  <c r="K87" i="43"/>
  <c r="J87" i="43"/>
  <c r="D87" i="43"/>
  <c r="C7" i="43"/>
  <c r="C3" i="4"/>
  <c r="B4" i="55" s="1"/>
  <c r="B53" i="60" s="1"/>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C11" i="12"/>
  <c r="C15" i="12" s="1"/>
  <c r="E81" i="43"/>
  <c r="B79" i="43" s="1"/>
  <c r="C13" i="12"/>
  <c r="C36" i="11"/>
  <c r="D118" i="57"/>
  <c r="D119" i="57"/>
  <c r="I115" i="57" s="1"/>
  <c r="D132" i="57" s="1"/>
  <c r="D134" i="57"/>
  <c r="D130" i="9"/>
  <c r="D13" i="52"/>
  <c r="N46" i="9"/>
  <c r="H9" i="44"/>
  <c r="H7" i="44"/>
  <c r="H10" i="44"/>
  <c r="N12" i="43"/>
  <c r="N4" i="43"/>
  <c r="F70" i="43" s="1"/>
  <c r="M7" i="43"/>
  <c r="N1" i="43"/>
  <c r="M10" i="43"/>
  <c r="M2" i="43"/>
  <c r="H15" i="44"/>
  <c r="H87" i="43"/>
  <c r="H5" i="44"/>
  <c r="N10" i="43"/>
  <c r="N2" i="43"/>
  <c r="N11" i="43"/>
  <c r="N9" i="43"/>
  <c r="M4" i="43"/>
  <c r="N5" i="43"/>
  <c r="N3" i="43"/>
  <c r="M9" i="43"/>
  <c r="E17" i="43"/>
  <c r="N17" i="43"/>
  <c r="L17" i="43"/>
  <c r="O17" i="43"/>
  <c r="M17" i="43"/>
  <c r="J1" i="61"/>
  <c r="B20" i="59"/>
  <c r="AB20" i="59"/>
  <c r="U20" i="59"/>
  <c r="AA19" i="59"/>
  <c r="X19" i="59"/>
  <c r="AB19" i="59"/>
  <c r="AA18" i="59"/>
  <c r="Y18" i="59"/>
  <c r="Z18" i="59" s="1"/>
  <c r="Y16" i="59"/>
  <c r="Z16" i="59" s="1"/>
  <c r="AB16" i="59"/>
  <c r="AB14" i="59"/>
  <c r="X16" i="59"/>
  <c r="X14" i="59"/>
  <c r="AA16" i="59"/>
  <c r="AA14" i="59"/>
  <c r="AB15" i="59"/>
  <c r="X15" i="59"/>
  <c r="U16" i="59"/>
  <c r="J30" i="35"/>
  <c r="W30" i="35"/>
  <c r="H30" i="35"/>
  <c r="AA30" i="35"/>
  <c r="N56" i="9"/>
  <c r="O56" i="9"/>
  <c r="O58" i="57"/>
  <c r="K58" i="57"/>
  <c r="K59" i="57" s="1"/>
  <c r="K61" i="57" s="1"/>
  <c r="K63" i="57" s="1"/>
  <c r="N58" i="57"/>
  <c r="K56" i="9"/>
  <c r="K57" i="9" s="1"/>
  <c r="K59" i="9" s="1"/>
  <c r="K61" i="9" s="1"/>
  <c r="L58" i="57"/>
  <c r="X3" i="59"/>
  <c r="Y3" i="59"/>
  <c r="Z3" i="59" s="1"/>
  <c r="F48" i="43"/>
  <c r="H50" i="43" s="1"/>
  <c r="G4" i="47"/>
  <c r="S20" i="59"/>
  <c r="B19" i="59"/>
  <c r="B18" i="59"/>
  <c r="B17" i="59" s="1"/>
  <c r="B16" i="59" s="1"/>
  <c r="AC30" i="35"/>
  <c r="AB30" i="35"/>
  <c r="U30" i="35"/>
  <c r="I116" i="57"/>
  <c r="D133" i="57" s="1"/>
  <c r="I14" i="62" s="1"/>
  <c r="B8" i="62" s="1"/>
  <c r="D120" i="57"/>
  <c r="I114" i="9"/>
  <c r="D129" i="9" s="1"/>
  <c r="I112" i="9"/>
  <c r="D116" i="9"/>
  <c r="D114" i="9"/>
  <c r="D115" i="9"/>
  <c r="I113" i="9" s="1"/>
  <c r="E2" i="11"/>
  <c r="D19" i="9"/>
  <c r="H23" i="31"/>
  <c r="C19" i="9"/>
  <c r="E2" i="37"/>
  <c r="D4" i="61"/>
  <c r="D20" i="9"/>
  <c r="F3" i="61"/>
  <c r="F4" i="61"/>
  <c r="E2" i="21"/>
  <c r="E2" i="35"/>
  <c r="C20" i="9"/>
  <c r="F5" i="61"/>
  <c r="D6" i="61"/>
  <c r="D5" i="61"/>
  <c r="F6" i="61"/>
  <c r="E2" i="34"/>
  <c r="E2" i="33"/>
  <c r="D7" i="61"/>
  <c r="F7" i="61"/>
  <c r="E2" i="36"/>
  <c r="D36" i="57" l="1"/>
  <c r="B103" i="57"/>
  <c r="E31" i="31"/>
  <c r="E522" i="31"/>
  <c r="E514" i="31"/>
  <c r="E506" i="31"/>
  <c r="E498" i="31"/>
  <c r="E490" i="31"/>
  <c r="E482" i="31"/>
  <c r="E474" i="31"/>
  <c r="E466" i="31"/>
  <c r="E458" i="31"/>
  <c r="E444" i="31"/>
  <c r="E428" i="31"/>
  <c r="E412" i="31"/>
  <c r="E396" i="31"/>
  <c r="E380" i="31"/>
  <c r="E364" i="31"/>
  <c r="E348" i="31"/>
  <c r="E332" i="31"/>
  <c r="E316" i="31"/>
  <c r="E300" i="31"/>
  <c r="E284" i="31"/>
  <c r="E268" i="31"/>
  <c r="E252" i="31"/>
  <c r="E236" i="31"/>
  <c r="E220" i="31"/>
  <c r="E204" i="31"/>
  <c r="E175" i="31"/>
  <c r="E143" i="31"/>
  <c r="E111" i="31"/>
  <c r="E79" i="31"/>
  <c r="E47" i="31"/>
  <c r="T44" i="31"/>
  <c r="S84" i="31"/>
  <c r="S210" i="31"/>
  <c r="S258" i="31"/>
  <c r="E29" i="31"/>
  <c r="E524" i="31"/>
  <c r="E520" i="31"/>
  <c r="E516" i="31"/>
  <c r="E512" i="31"/>
  <c r="E508" i="31"/>
  <c r="E504" i="31"/>
  <c r="E500" i="31"/>
  <c r="E496" i="31"/>
  <c r="E492" i="31"/>
  <c r="E488" i="31"/>
  <c r="E484" i="31"/>
  <c r="E480" i="31"/>
  <c r="E476" i="31"/>
  <c r="E472" i="31"/>
  <c r="E468" i="31"/>
  <c r="E464" i="31"/>
  <c r="E460" i="31"/>
  <c r="E456" i="31"/>
  <c r="E448" i="31"/>
  <c r="E440" i="31"/>
  <c r="E432" i="31"/>
  <c r="E424" i="31"/>
  <c r="E416" i="31"/>
  <c r="E408" i="31"/>
  <c r="E400" i="31"/>
  <c r="E392" i="31"/>
  <c r="E384" i="31"/>
  <c r="E376" i="31"/>
  <c r="E368" i="31"/>
  <c r="E360" i="31"/>
  <c r="E352" i="31"/>
  <c r="E344" i="31"/>
  <c r="E336" i="31"/>
  <c r="E328" i="31"/>
  <c r="E320" i="31"/>
  <c r="E312" i="31"/>
  <c r="E304" i="31"/>
  <c r="E296" i="31"/>
  <c r="E288" i="31"/>
  <c r="E280" i="31"/>
  <c r="E272" i="31"/>
  <c r="E264" i="31"/>
  <c r="E256" i="31"/>
  <c r="E248" i="31"/>
  <c r="E240" i="31"/>
  <c r="E232" i="31"/>
  <c r="E224" i="31"/>
  <c r="E216" i="31"/>
  <c r="E208" i="31"/>
  <c r="E199" i="31"/>
  <c r="E183" i="31"/>
  <c r="E167" i="31"/>
  <c r="E151" i="31"/>
  <c r="E135" i="31"/>
  <c r="E119" i="31"/>
  <c r="E103" i="31"/>
  <c r="E87" i="31"/>
  <c r="E71" i="31"/>
  <c r="E55" i="31"/>
  <c r="G9" i="31"/>
  <c r="H9" i="31" s="1"/>
  <c r="I9" i="31" s="1"/>
  <c r="J9" i="31" s="1"/>
  <c r="K9" i="31" s="1"/>
  <c r="L9" i="31" s="1"/>
  <c r="M9" i="31" s="1"/>
  <c r="N9" i="31" s="1"/>
  <c r="O9" i="31" s="1"/>
  <c r="P9" i="31" s="1"/>
  <c r="Q9" i="31" s="1"/>
  <c r="R9" i="31" s="1"/>
  <c r="S9" i="31" s="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33" i="31"/>
  <c r="E37" i="31"/>
  <c r="E41" i="31"/>
  <c r="E45" i="31"/>
  <c r="E49" i="31"/>
  <c r="E53" i="31"/>
  <c r="E57" i="31"/>
  <c r="E61" i="31"/>
  <c r="E65" i="31"/>
  <c r="E69" i="31"/>
  <c r="E73" i="31"/>
  <c r="E77" i="31"/>
  <c r="E81" i="31"/>
  <c r="E85" i="31"/>
  <c r="E89" i="31"/>
  <c r="E93" i="31"/>
  <c r="E97" i="31"/>
  <c r="E101" i="31"/>
  <c r="E105" i="31"/>
  <c r="E109" i="31"/>
  <c r="E113" i="31"/>
  <c r="E117" i="31"/>
  <c r="E121" i="31"/>
  <c r="E125" i="31"/>
  <c r="E129" i="31"/>
  <c r="E133" i="31"/>
  <c r="E137" i="31"/>
  <c r="E141" i="31"/>
  <c r="E145" i="31"/>
  <c r="E149" i="31"/>
  <c r="E153" i="31"/>
  <c r="E157" i="31"/>
  <c r="E161" i="31"/>
  <c r="E165" i="31"/>
  <c r="E169" i="31"/>
  <c r="E173" i="31"/>
  <c r="E177" i="31"/>
  <c r="E181" i="31"/>
  <c r="E185" i="31"/>
  <c r="E189" i="31"/>
  <c r="E193" i="31"/>
  <c r="E197"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E367" i="31"/>
  <c r="E369" i="31"/>
  <c r="E371" i="31"/>
  <c r="E373" i="31"/>
  <c r="E375" i="31"/>
  <c r="E377" i="31"/>
  <c r="E379" i="31"/>
  <c r="E381" i="31"/>
  <c r="E383" i="31"/>
  <c r="E385" i="31"/>
  <c r="E387" i="31"/>
  <c r="E389" i="31"/>
  <c r="E391" i="31"/>
  <c r="E393" i="31"/>
  <c r="E395" i="31"/>
  <c r="E397" i="31"/>
  <c r="E399" i="31"/>
  <c r="E401" i="31"/>
  <c r="E403" i="31"/>
  <c r="E405" i="31"/>
  <c r="E407" i="31"/>
  <c r="E409" i="31"/>
  <c r="E411" i="31"/>
  <c r="E413" i="31"/>
  <c r="E415" i="31"/>
  <c r="E417" i="31"/>
  <c r="E419" i="31"/>
  <c r="E421" i="31"/>
  <c r="E423" i="31"/>
  <c r="E425" i="31"/>
  <c r="E427" i="31"/>
  <c r="E429" i="31"/>
  <c r="E431" i="31"/>
  <c r="E433" i="31"/>
  <c r="E435" i="31"/>
  <c r="E437" i="31"/>
  <c r="E439" i="31"/>
  <c r="E441" i="31"/>
  <c r="E443" i="31"/>
  <c r="E445" i="31"/>
  <c r="E447" i="31"/>
  <c r="E449" i="31"/>
  <c r="E451" i="31"/>
  <c r="E453" i="31"/>
  <c r="E455" i="31"/>
  <c r="T356" i="31"/>
  <c r="T486" i="31"/>
  <c r="E28" i="31"/>
  <c r="E30" i="31"/>
  <c r="E527" i="31"/>
  <c r="E525" i="31"/>
  <c r="E523" i="31"/>
  <c r="E521" i="31"/>
  <c r="E519" i="31"/>
  <c r="E517" i="31"/>
  <c r="E515" i="31"/>
  <c r="E513" i="31"/>
  <c r="E511" i="31"/>
  <c r="E509" i="31"/>
  <c r="E507" i="31"/>
  <c r="E505" i="31"/>
  <c r="E503" i="31"/>
  <c r="E501" i="31"/>
  <c r="E499" i="31"/>
  <c r="E497" i="31"/>
  <c r="E495" i="31"/>
  <c r="E493" i="31"/>
  <c r="E491" i="31"/>
  <c r="E489" i="31"/>
  <c r="E487" i="31"/>
  <c r="E485" i="31"/>
  <c r="E483" i="31"/>
  <c r="E481" i="31"/>
  <c r="E479" i="31"/>
  <c r="E477" i="31"/>
  <c r="E475" i="31"/>
  <c r="E473" i="31"/>
  <c r="E471" i="31"/>
  <c r="E469" i="31"/>
  <c r="E467" i="31"/>
  <c r="E465" i="31"/>
  <c r="E463" i="31"/>
  <c r="E461" i="31"/>
  <c r="E459" i="31"/>
  <c r="E457" i="31"/>
  <c r="E454" i="31"/>
  <c r="E450" i="31"/>
  <c r="E446" i="31"/>
  <c r="E442" i="31"/>
  <c r="E438" i="31"/>
  <c r="E434" i="31"/>
  <c r="E430" i="31"/>
  <c r="E426" i="31"/>
  <c r="E422" i="31"/>
  <c r="E418" i="31"/>
  <c r="E414" i="31"/>
  <c r="E410" i="31"/>
  <c r="E406" i="31"/>
  <c r="E402" i="31"/>
  <c r="E398" i="31"/>
  <c r="E394" i="31"/>
  <c r="E390" i="31"/>
  <c r="E386" i="31"/>
  <c r="E382" i="31"/>
  <c r="E378" i="31"/>
  <c r="E374" i="31"/>
  <c r="E370" i="31"/>
  <c r="E366" i="31"/>
  <c r="E362" i="31"/>
  <c r="E358" i="31"/>
  <c r="E354" i="31"/>
  <c r="E350" i="31"/>
  <c r="E346" i="31"/>
  <c r="E342" i="31"/>
  <c r="E338" i="31"/>
  <c r="E334" i="31"/>
  <c r="E330" i="31"/>
  <c r="E326" i="31"/>
  <c r="E322" i="31"/>
  <c r="E318" i="31"/>
  <c r="E314" i="31"/>
  <c r="E310" i="31"/>
  <c r="E306" i="31"/>
  <c r="E302" i="31"/>
  <c r="E298" i="31"/>
  <c r="E294" i="31"/>
  <c r="E290" i="31"/>
  <c r="E286" i="31"/>
  <c r="E282" i="31"/>
  <c r="E278" i="31"/>
  <c r="E274" i="31"/>
  <c r="E270" i="31"/>
  <c r="E266" i="31"/>
  <c r="E262" i="31"/>
  <c r="E258" i="31"/>
  <c r="E254" i="31"/>
  <c r="E250" i="31"/>
  <c r="E246" i="31"/>
  <c r="E242" i="31"/>
  <c r="E238" i="31"/>
  <c r="E234" i="31"/>
  <c r="E230" i="31"/>
  <c r="E226" i="31"/>
  <c r="E222" i="31"/>
  <c r="E218" i="31"/>
  <c r="E214" i="31"/>
  <c r="E210" i="31"/>
  <c r="E206" i="31"/>
  <c r="E202" i="31"/>
  <c r="E195" i="31"/>
  <c r="E187" i="31"/>
  <c r="E179" i="31"/>
  <c r="E171" i="31"/>
  <c r="E163" i="31"/>
  <c r="E155" i="31"/>
  <c r="E147" i="31"/>
  <c r="E139" i="31"/>
  <c r="E131" i="31"/>
  <c r="E123" i="31"/>
  <c r="E115" i="31"/>
  <c r="E107" i="31"/>
  <c r="E99" i="31"/>
  <c r="E91" i="31"/>
  <c r="E83" i="31"/>
  <c r="E75" i="31"/>
  <c r="E67" i="31"/>
  <c r="E59" i="31"/>
  <c r="E51" i="31"/>
  <c r="E43" i="31"/>
  <c r="E35" i="31"/>
  <c r="T78" i="31"/>
  <c r="T318" i="31"/>
  <c r="T470" i="31"/>
  <c r="S514" i="31"/>
  <c r="S460" i="31"/>
  <c r="S146" i="31"/>
  <c r="S342" i="31"/>
  <c r="T36" i="31"/>
  <c r="T52" i="31"/>
  <c r="T294" i="31"/>
  <c r="T420" i="31"/>
  <c r="T380" i="31"/>
  <c r="T454" i="31"/>
  <c r="T478" i="31"/>
  <c r="T494" i="31"/>
  <c r="S110" i="31"/>
  <c r="S100" i="31"/>
  <c r="S178" i="31"/>
  <c r="S300" i="31"/>
  <c r="S384" i="31"/>
  <c r="T40" i="31"/>
  <c r="T48" i="31"/>
  <c r="T56" i="31"/>
  <c r="T262" i="31"/>
  <c r="T324" i="31"/>
  <c r="T388" i="31"/>
  <c r="T286" i="31"/>
  <c r="T348" i="31"/>
  <c r="T412" i="31"/>
  <c r="T442" i="31"/>
  <c r="T462" i="31"/>
  <c r="T474" i="31"/>
  <c r="T482" i="31"/>
  <c r="T490" i="31"/>
  <c r="T498" i="31"/>
  <c r="S504" i="31"/>
  <c r="S522" i="31"/>
  <c r="S450" i="31"/>
  <c r="S102" i="31"/>
  <c r="S92" i="31"/>
  <c r="S64" i="31"/>
  <c r="S436" i="31"/>
  <c r="S130" i="31"/>
  <c r="S162" i="31"/>
  <c r="S194" i="31"/>
  <c r="S428" i="31"/>
  <c r="S250" i="31"/>
  <c r="S280" i="31"/>
  <c r="S322" i="31"/>
  <c r="S362" i="31"/>
  <c r="S406" i="31"/>
  <c r="T38" i="31"/>
  <c r="T42" i="31"/>
  <c r="T46" i="31"/>
  <c r="T50" i="31"/>
  <c r="T54" i="31"/>
  <c r="T76" i="31"/>
  <c r="T80" i="31"/>
  <c r="T278" i="31"/>
  <c r="T310" i="31"/>
  <c r="T340" i="31"/>
  <c r="T372" i="31"/>
  <c r="T404" i="31"/>
  <c r="T270" i="31"/>
  <c r="T302" i="31"/>
  <c r="T332" i="31"/>
  <c r="T364" i="31"/>
  <c r="T396" i="31"/>
  <c r="T430" i="31"/>
  <c r="T438" i="31"/>
  <c r="T446" i="31"/>
  <c r="T458" i="31"/>
  <c r="T466" i="31"/>
  <c r="T472" i="31"/>
  <c r="T476" i="31"/>
  <c r="T480" i="31"/>
  <c r="T484" i="31"/>
  <c r="T488" i="31"/>
  <c r="T492" i="31"/>
  <c r="T496" i="31"/>
  <c r="T500" i="31"/>
  <c r="S30" i="31"/>
  <c r="S508" i="31"/>
  <c r="S526" i="31"/>
  <c r="S518" i="31"/>
  <c r="S510" i="31"/>
  <c r="S114" i="31"/>
  <c r="S106" i="31"/>
  <c r="S34" i="31"/>
  <c r="S88" i="31"/>
  <c r="S96" i="31"/>
  <c r="S60" i="31"/>
  <c r="S70" i="31"/>
  <c r="S118" i="31"/>
  <c r="S138" i="31"/>
  <c r="S154" i="31"/>
  <c r="S170" i="31"/>
  <c r="S186" i="31"/>
  <c r="S202" i="31"/>
  <c r="S218" i="31"/>
  <c r="S254" i="31"/>
  <c r="S268" i="31"/>
  <c r="S290" i="31"/>
  <c r="S312" i="31"/>
  <c r="S330" i="31"/>
  <c r="S352" i="31"/>
  <c r="S374" i="31"/>
  <c r="S394" i="31"/>
  <c r="S416" i="31"/>
  <c r="T464" i="31"/>
  <c r="S464" i="31"/>
  <c r="T456" i="31"/>
  <c r="S456" i="31"/>
  <c r="T440" i="31"/>
  <c r="S440" i="31"/>
  <c r="T432" i="31"/>
  <c r="S432" i="31"/>
  <c r="T426" i="31"/>
  <c r="S426" i="31"/>
  <c r="T424" i="31"/>
  <c r="S424" i="31"/>
  <c r="T418" i="31"/>
  <c r="S418" i="31"/>
  <c r="T414" i="31"/>
  <c r="S414" i="31"/>
  <c r="T408" i="31"/>
  <c r="S408" i="31"/>
  <c r="T402" i="31"/>
  <c r="S402" i="31"/>
  <c r="T398" i="31"/>
  <c r="S398" i="31"/>
  <c r="T392" i="31"/>
  <c r="S392" i="31"/>
  <c r="T386" i="31"/>
  <c r="S386" i="31"/>
  <c r="T382" i="31"/>
  <c r="S382" i="31"/>
  <c r="T376" i="31"/>
  <c r="S376" i="31"/>
  <c r="T370" i="31"/>
  <c r="S370" i="31"/>
  <c r="T366" i="31"/>
  <c r="S366" i="31"/>
  <c r="T360" i="31"/>
  <c r="S360" i="31"/>
  <c r="T354" i="31"/>
  <c r="S354" i="31"/>
  <c r="T350" i="31"/>
  <c r="S350" i="31"/>
  <c r="T344" i="31"/>
  <c r="S344" i="31"/>
  <c r="T338" i="31"/>
  <c r="S338" i="31"/>
  <c r="T334" i="31"/>
  <c r="S334" i="31"/>
  <c r="T328" i="31"/>
  <c r="S328" i="31"/>
  <c r="T320" i="31"/>
  <c r="S320" i="31"/>
  <c r="T314" i="31"/>
  <c r="S314" i="31"/>
  <c r="T308" i="31"/>
  <c r="S308" i="31"/>
  <c r="T304" i="31"/>
  <c r="S304" i="31"/>
  <c r="T298" i="31"/>
  <c r="S298" i="31"/>
  <c r="T292" i="31"/>
  <c r="S292" i="31"/>
  <c r="T288" i="31"/>
  <c r="S288" i="31"/>
  <c r="T282" i="31"/>
  <c r="S282" i="31"/>
  <c r="T276" i="31"/>
  <c r="S276" i="31"/>
  <c r="T272" i="31"/>
  <c r="S272" i="31"/>
  <c r="T266" i="31"/>
  <c r="S266" i="31"/>
  <c r="T260" i="31"/>
  <c r="S260" i="31"/>
  <c r="T224" i="31"/>
  <c r="S224" i="31"/>
  <c r="T220" i="31"/>
  <c r="S220" i="31"/>
  <c r="T216" i="31"/>
  <c r="S216" i="31"/>
  <c r="T212" i="31"/>
  <c r="S212" i="31"/>
  <c r="T208" i="31"/>
  <c r="S208" i="31"/>
  <c r="T204" i="31"/>
  <c r="S204" i="31"/>
  <c r="T200" i="31"/>
  <c r="S200" i="31"/>
  <c r="T196" i="31"/>
  <c r="S196" i="31"/>
  <c r="T192" i="31"/>
  <c r="S192" i="31"/>
  <c r="T188" i="31"/>
  <c r="S188" i="31"/>
  <c r="T184" i="31"/>
  <c r="S184" i="31"/>
  <c r="T180" i="31"/>
  <c r="S180" i="31"/>
  <c r="T176" i="31"/>
  <c r="S176" i="31"/>
  <c r="T172" i="31"/>
  <c r="S172" i="31"/>
  <c r="T168" i="31"/>
  <c r="S168" i="31"/>
  <c r="T164" i="31"/>
  <c r="S164" i="31"/>
  <c r="T160" i="31"/>
  <c r="S160" i="31"/>
  <c r="T156" i="31"/>
  <c r="S156" i="31"/>
  <c r="T152" i="31"/>
  <c r="S152" i="31"/>
  <c r="T148" i="31"/>
  <c r="S148" i="31"/>
  <c r="T144" i="31"/>
  <c r="S144" i="31"/>
  <c r="T140" i="31"/>
  <c r="S140" i="31"/>
  <c r="T136" i="31"/>
  <c r="S136" i="31"/>
  <c r="T132" i="31"/>
  <c r="S132" i="31"/>
  <c r="T128" i="31"/>
  <c r="S128" i="31"/>
  <c r="T124" i="31"/>
  <c r="S124" i="31"/>
  <c r="T120" i="31"/>
  <c r="S120" i="31"/>
  <c r="T116" i="31"/>
  <c r="S116" i="31"/>
  <c r="T72" i="31"/>
  <c r="S72" i="31"/>
  <c r="T68" i="31"/>
  <c r="S68" i="31"/>
  <c r="S502" i="31"/>
  <c r="S506" i="31"/>
  <c r="S524" i="31"/>
  <c r="S520" i="31"/>
  <c r="S516" i="31"/>
  <c r="S512" i="31"/>
  <c r="S452" i="31"/>
  <c r="S448" i="31"/>
  <c r="S112" i="31"/>
  <c r="S108" i="31"/>
  <c r="S104" i="31"/>
  <c r="S32" i="31"/>
  <c r="S82" i="31"/>
  <c r="S86" i="31"/>
  <c r="S90" i="31"/>
  <c r="S94" i="31"/>
  <c r="S98" i="31"/>
  <c r="S58" i="31"/>
  <c r="S62" i="31"/>
  <c r="S66" i="31"/>
  <c r="S74" i="31"/>
  <c r="S468" i="31"/>
  <c r="S122" i="31"/>
  <c r="S444" i="31"/>
  <c r="S126" i="31"/>
  <c r="S134" i="31"/>
  <c r="S142" i="31"/>
  <c r="S150" i="31"/>
  <c r="S158" i="31"/>
  <c r="S166" i="31"/>
  <c r="S174" i="31"/>
  <c r="S182" i="31"/>
  <c r="S190" i="31"/>
  <c r="S198" i="31"/>
  <c r="S206" i="31"/>
  <c r="S214" i="31"/>
  <c r="S222" i="31"/>
  <c r="S226" i="31"/>
  <c r="S228" i="31"/>
  <c r="S230" i="31"/>
  <c r="S232" i="31"/>
  <c r="S234" i="31"/>
  <c r="S236" i="31"/>
  <c r="S238" i="31"/>
  <c r="S240" i="31"/>
  <c r="S242" i="31"/>
  <c r="S244" i="31"/>
  <c r="S246" i="31"/>
  <c r="S248" i="31"/>
  <c r="S252" i="31"/>
  <c r="S256" i="31"/>
  <c r="S264" i="31"/>
  <c r="S274" i="31"/>
  <c r="S284" i="31"/>
  <c r="S296" i="31"/>
  <c r="S306" i="31"/>
  <c r="S316" i="31"/>
  <c r="S326" i="31"/>
  <c r="S336" i="31"/>
  <c r="S346" i="31"/>
  <c r="S358" i="31"/>
  <c r="S368" i="31"/>
  <c r="S378" i="31"/>
  <c r="S390" i="31"/>
  <c r="S400" i="31"/>
  <c r="S410" i="31"/>
  <c r="S422" i="31"/>
  <c r="T257" i="31"/>
  <c r="S257" i="31"/>
  <c r="T255" i="31"/>
  <c r="S255" i="31"/>
  <c r="T253" i="31"/>
  <c r="S253" i="31"/>
  <c r="T251" i="31"/>
  <c r="S251" i="31"/>
  <c r="T249" i="31"/>
  <c r="S249" i="31"/>
  <c r="J28" i="34"/>
  <c r="W28" i="34" s="1"/>
  <c r="H28" i="34"/>
  <c r="U28" i="34" s="1"/>
  <c r="F28" i="34"/>
  <c r="AA28" i="34" s="1"/>
  <c r="AB28" i="34"/>
  <c r="AC28" i="34"/>
  <c r="AB27" i="34"/>
  <c r="AA27" i="34"/>
  <c r="AC37" i="34"/>
  <c r="AA33" i="34"/>
  <c r="W41" i="34"/>
  <c r="AA41" i="34"/>
  <c r="AB41" i="34"/>
  <c r="AC36" i="34"/>
  <c r="S36" i="34"/>
  <c r="W35" i="34"/>
  <c r="AC33" i="34"/>
  <c r="AB33" i="34"/>
  <c r="W43" i="34"/>
  <c r="AB35" i="34"/>
  <c r="U30" i="34"/>
  <c r="AB30" i="34"/>
  <c r="U32" i="34"/>
  <c r="AB32" i="34"/>
  <c r="AA31" i="34"/>
  <c r="J32" i="34"/>
  <c r="W32" i="34" s="1"/>
  <c r="J30" i="34"/>
  <c r="F30" i="34"/>
  <c r="AC10" i="34"/>
  <c r="S121" i="31"/>
  <c r="S31" i="31"/>
  <c r="S397" i="31"/>
  <c r="S365" i="31"/>
  <c r="S333" i="31"/>
  <c r="S33" i="31"/>
  <c r="S463" i="31"/>
  <c r="S129" i="31"/>
  <c r="S161" i="31"/>
  <c r="S193" i="31"/>
  <c r="S225" i="31"/>
  <c r="S49" i="31"/>
  <c r="S61" i="31"/>
  <c r="S69" i="31"/>
  <c r="S79" i="31"/>
  <c r="S477" i="31"/>
  <c r="S493" i="31"/>
  <c r="S215" i="31"/>
  <c r="S183" i="31"/>
  <c r="S151" i="31"/>
  <c r="S441" i="31"/>
  <c r="S453" i="31"/>
  <c r="S109" i="31"/>
  <c r="T271" i="31"/>
  <c r="T287" i="31"/>
  <c r="T303" i="31"/>
  <c r="T319" i="31"/>
  <c r="S347" i="31"/>
  <c r="S379" i="31"/>
  <c r="S411" i="31"/>
  <c r="S503" i="31"/>
  <c r="S495" i="31"/>
  <c r="S125" i="31"/>
  <c r="S117" i="31"/>
  <c r="S39" i="31"/>
  <c r="S421" i="31"/>
  <c r="S405" i="31"/>
  <c r="S389" i="31"/>
  <c r="S373" i="31"/>
  <c r="S357" i="31"/>
  <c r="S341" i="31"/>
  <c r="S325" i="31"/>
  <c r="S107" i="31"/>
  <c r="S87" i="31"/>
  <c r="S455" i="31"/>
  <c r="S501" i="31"/>
  <c r="S443" i="31"/>
  <c r="S137" i="31"/>
  <c r="S153" i="31"/>
  <c r="S169" i="31"/>
  <c r="S185" i="31"/>
  <c r="S201" i="31"/>
  <c r="S217" i="31"/>
  <c r="S37" i="31"/>
  <c r="S45" i="31"/>
  <c r="S53" i="31"/>
  <c r="S59" i="31"/>
  <c r="S63" i="31"/>
  <c r="S67" i="31"/>
  <c r="S71" i="31"/>
  <c r="S75" i="31"/>
  <c r="S449" i="31"/>
  <c r="S473" i="31"/>
  <c r="S481" i="31"/>
  <c r="S489" i="31"/>
  <c r="S497" i="31"/>
  <c r="S223" i="31"/>
  <c r="S207" i="31"/>
  <c r="S191" i="31"/>
  <c r="S175" i="31"/>
  <c r="S159" i="31"/>
  <c r="S143" i="31"/>
  <c r="S127" i="31"/>
  <c r="S433" i="31"/>
  <c r="S461" i="31"/>
  <c r="S93" i="31"/>
  <c r="S101" i="31"/>
  <c r="S513" i="31"/>
  <c r="T267" i="31"/>
  <c r="T275" i="31"/>
  <c r="T283" i="31"/>
  <c r="T291" i="31"/>
  <c r="T299" i="31"/>
  <c r="T307" i="31"/>
  <c r="T315" i="31"/>
  <c r="T323" i="31"/>
  <c r="S339" i="31"/>
  <c r="S355" i="31"/>
  <c r="S371" i="31"/>
  <c r="S387" i="31"/>
  <c r="S403" i="31"/>
  <c r="S419" i="31"/>
  <c r="S43" i="31"/>
  <c r="S483" i="31"/>
  <c r="C6" i="43"/>
  <c r="H86" i="43"/>
  <c r="H84" i="43"/>
  <c r="G15" i="47"/>
  <c r="H63" i="43"/>
  <c r="H59" i="43"/>
  <c r="H67" i="43"/>
  <c r="H61" i="43"/>
  <c r="H65" i="43"/>
  <c r="H60" i="43"/>
  <c r="H66" i="43"/>
  <c r="H64" i="43"/>
  <c r="M104" i="43"/>
  <c r="I103" i="43"/>
  <c r="E102" i="43"/>
  <c r="N109" i="43"/>
  <c r="J107" i="43"/>
  <c r="E105" i="43"/>
  <c r="N106" i="43"/>
  <c r="C9" i="11"/>
  <c r="C19" i="12"/>
  <c r="C27" i="15"/>
  <c r="C29" i="11"/>
  <c r="D27" i="11" s="1"/>
  <c r="D80" i="57"/>
  <c r="D78" i="9"/>
  <c r="D95" i="57"/>
  <c r="D93" i="9"/>
  <c r="G125" i="57"/>
  <c r="S487" i="31"/>
  <c r="S471" i="31"/>
  <c r="S123" i="31"/>
  <c r="S119" i="31"/>
  <c r="S115" i="31"/>
  <c r="S47" i="31"/>
  <c r="S77" i="31"/>
  <c r="S425" i="31"/>
  <c r="S417" i="31"/>
  <c r="S409" i="31"/>
  <c r="S401" i="31"/>
  <c r="S393" i="31"/>
  <c r="S385" i="31"/>
  <c r="S377" i="31"/>
  <c r="S369" i="31"/>
  <c r="S361" i="31"/>
  <c r="S353" i="31"/>
  <c r="S345" i="31"/>
  <c r="S337" i="31"/>
  <c r="S329" i="31"/>
  <c r="S515" i="31"/>
  <c r="S111" i="31"/>
  <c r="S103" i="31"/>
  <c r="S83" i="31"/>
  <c r="S91" i="31"/>
  <c r="S99" i="31"/>
  <c r="S459" i="31"/>
  <c r="S467" i="31"/>
  <c r="S509" i="31"/>
  <c r="S439" i="31"/>
  <c r="S447" i="31"/>
  <c r="S133" i="31"/>
  <c r="S141" i="31"/>
  <c r="S149" i="31"/>
  <c r="S157" i="31"/>
  <c r="S165" i="31"/>
  <c r="S173" i="31"/>
  <c r="S181" i="31"/>
  <c r="S189" i="31"/>
  <c r="S197" i="31"/>
  <c r="S205" i="31"/>
  <c r="S213" i="31"/>
  <c r="S221" i="31"/>
  <c r="S431" i="31"/>
  <c r="S429" i="31"/>
  <c r="S219" i="31"/>
  <c r="S211" i="31"/>
  <c r="S203" i="31"/>
  <c r="S195" i="31"/>
  <c r="S187" i="31"/>
  <c r="S179" i="31"/>
  <c r="S171" i="31"/>
  <c r="S163" i="31"/>
  <c r="S155" i="31"/>
  <c r="S147" i="31"/>
  <c r="S139" i="31"/>
  <c r="S131" i="31"/>
  <c r="S445" i="31"/>
  <c r="S437" i="31"/>
  <c r="S505" i="31"/>
  <c r="S465" i="31"/>
  <c r="S457" i="31"/>
  <c r="S97" i="31"/>
  <c r="S89" i="31"/>
  <c r="S81" i="31"/>
  <c r="S105" i="31"/>
  <c r="S113" i="31"/>
  <c r="S517" i="31"/>
  <c r="T265" i="31"/>
  <c r="T269" i="31"/>
  <c r="T273" i="31"/>
  <c r="T277" i="31"/>
  <c r="T281" i="31"/>
  <c r="T285" i="31"/>
  <c r="T289" i="31"/>
  <c r="T293" i="31"/>
  <c r="T297" i="31"/>
  <c r="T301" i="31"/>
  <c r="T305" i="31"/>
  <c r="T309" i="31"/>
  <c r="T313" i="31"/>
  <c r="T317" i="31"/>
  <c r="T321" i="31"/>
  <c r="S327" i="31"/>
  <c r="S335" i="31"/>
  <c r="S343" i="31"/>
  <c r="S351" i="31"/>
  <c r="S359" i="31"/>
  <c r="S367" i="31"/>
  <c r="S375" i="31"/>
  <c r="S383" i="31"/>
  <c r="S391" i="31"/>
  <c r="S399" i="31"/>
  <c r="S407" i="31"/>
  <c r="S415" i="31"/>
  <c r="S423" i="31"/>
  <c r="H103" i="57"/>
  <c r="S527" i="31"/>
  <c r="S525" i="31"/>
  <c r="S523" i="31"/>
  <c r="S521" i="31"/>
  <c r="S519" i="31"/>
  <c r="S35" i="31"/>
  <c r="S51" i="31"/>
  <c r="S475" i="31"/>
  <c r="S491" i="31"/>
  <c r="D39" i="50"/>
  <c r="D40" i="50" s="1"/>
  <c r="D32" i="9"/>
  <c r="C112" i="57"/>
  <c r="B101" i="9"/>
  <c r="B103" i="9" s="1"/>
  <c r="A8" i="52"/>
  <c r="B65" i="60" s="1"/>
  <c r="D42" i="50"/>
  <c r="D43" i="50" s="1"/>
  <c r="J52" i="15"/>
  <c r="M60" i="15" s="1"/>
  <c r="C7" i="34"/>
  <c r="C59" i="34" s="1"/>
  <c r="C7" i="33"/>
  <c r="C58" i="33" s="1"/>
  <c r="D58" i="33" s="1"/>
  <c r="E58" i="33" s="1"/>
  <c r="F58" i="33" s="1"/>
  <c r="G58" i="33" s="1"/>
  <c r="H58" i="33" s="1"/>
  <c r="I58" i="33" s="1"/>
  <c r="J58" i="33" s="1"/>
  <c r="K58" i="33" s="1"/>
  <c r="L58" i="33" s="1"/>
  <c r="M58" i="33" s="1"/>
  <c r="N58" i="33" s="1"/>
  <c r="O58" i="33" s="1"/>
  <c r="N47" i="9"/>
  <c r="N49" i="57"/>
  <c r="C53" i="10"/>
  <c r="B15" i="59"/>
  <c r="B14" i="59" s="1"/>
  <c r="B13" i="59" s="1"/>
  <c r="B12" i="59" s="1"/>
  <c r="S16" i="59"/>
  <c r="AC11" i="34"/>
  <c r="W27" i="33"/>
  <c r="AC27" i="33"/>
  <c r="AB23" i="39"/>
  <c r="U23" i="39"/>
  <c r="U31" i="37"/>
  <c r="AB27" i="36"/>
  <c r="U27" i="36"/>
  <c r="AA24" i="36"/>
  <c r="S24" i="36"/>
  <c r="S27" i="33"/>
  <c r="AA27" i="33"/>
  <c r="AA31" i="21"/>
  <c r="S31" i="21"/>
  <c r="AC29" i="21"/>
  <c r="W29" i="21"/>
  <c r="S15" i="21"/>
  <c r="AA15" i="21"/>
  <c r="W12" i="36"/>
  <c r="AC12" i="36"/>
  <c r="S15" i="39"/>
  <c r="AA15" i="39"/>
  <c r="W25" i="39"/>
  <c r="AC25" i="39"/>
  <c r="F37" i="47"/>
  <c r="B35" i="47" s="1"/>
  <c r="AC31" i="33"/>
  <c r="AC14" i="34"/>
  <c r="S47" i="34"/>
  <c r="AA12" i="40"/>
  <c r="S12" i="40"/>
  <c r="W14" i="39"/>
  <c r="AC14" i="39"/>
  <c r="U28" i="37"/>
  <c r="AB28" i="37"/>
  <c r="AA28" i="37"/>
  <c r="S28" i="37"/>
  <c r="AC13" i="35"/>
  <c r="W13" i="35"/>
  <c r="AB44" i="33"/>
  <c r="U44" i="33"/>
  <c r="S30" i="33"/>
  <c r="AA30" i="33"/>
  <c r="U14" i="33"/>
  <c r="AB14" i="33"/>
  <c r="W13" i="36"/>
  <c r="AC13" i="36"/>
  <c r="AA11" i="36"/>
  <c r="S11" i="36"/>
  <c r="AB32" i="36"/>
  <c r="U32" i="36"/>
  <c r="U46" i="34"/>
  <c r="AB46" i="34"/>
  <c r="S32" i="34"/>
  <c r="AA32" i="34"/>
  <c r="AB31" i="33"/>
  <c r="U31" i="33"/>
  <c r="S29" i="33"/>
  <c r="AA29" i="33"/>
  <c r="AB15" i="33"/>
  <c r="U15" i="33"/>
  <c r="AA36" i="40"/>
  <c r="S36" i="40"/>
  <c r="AA11" i="33"/>
  <c r="S11" i="33"/>
  <c r="AB17" i="33"/>
  <c r="U17" i="33"/>
  <c r="AB43" i="34"/>
  <c r="U43" i="34"/>
  <c r="AB14" i="35"/>
  <c r="U14" i="35"/>
  <c r="AC32" i="35"/>
  <c r="W32" i="35"/>
  <c r="AA34" i="36"/>
  <c r="S34" i="36"/>
  <c r="AC29" i="36"/>
  <c r="W29" i="36"/>
  <c r="AA30" i="40"/>
  <c r="S30" i="40"/>
  <c r="U17" i="39"/>
  <c r="AB17" i="39"/>
  <c r="AB19" i="39"/>
  <c r="U19" i="39"/>
  <c r="AA42" i="39"/>
  <c r="S42" i="39"/>
  <c r="W8" i="21"/>
  <c r="H9" i="21"/>
  <c r="J9" i="21"/>
  <c r="AB35" i="21"/>
  <c r="U35" i="21"/>
  <c r="H13" i="21"/>
  <c r="J13" i="21"/>
  <c r="J31" i="21"/>
  <c r="H31" i="21"/>
  <c r="F45" i="21"/>
  <c r="H45" i="21"/>
  <c r="AA37" i="21"/>
  <c r="S37" i="21"/>
  <c r="B88" i="43"/>
  <c r="C21" i="40"/>
  <c r="AB38" i="33"/>
  <c r="U38" i="33"/>
  <c r="AC11" i="37"/>
  <c r="W11" i="37"/>
  <c r="AA27" i="36"/>
  <c r="S27" i="36"/>
  <c r="AC40" i="21"/>
  <c r="W40" i="21"/>
  <c r="AA40" i="21"/>
  <c r="S40" i="21"/>
  <c r="W32" i="21"/>
  <c r="AC32" i="21"/>
  <c r="U41" i="33"/>
  <c r="AB41" i="33"/>
  <c r="AB27" i="21"/>
  <c r="U27" i="21"/>
  <c r="AA37" i="34"/>
  <c r="S37" i="34"/>
  <c r="AB9" i="34"/>
  <c r="U9" i="34"/>
  <c r="AC9" i="34"/>
  <c r="W9" i="34"/>
  <c r="U21" i="39"/>
  <c r="AB21" i="39"/>
  <c r="AB41" i="39"/>
  <c r="U41" i="39"/>
  <c r="U25" i="39"/>
  <c r="AB25" i="39"/>
  <c r="AC28" i="37"/>
  <c r="W28" i="37"/>
  <c r="S25" i="36"/>
  <c r="AA25" i="36"/>
  <c r="AB46" i="33"/>
  <c r="U46" i="33"/>
  <c r="W46" i="33"/>
  <c r="AC46" i="33"/>
  <c r="AC44" i="33"/>
  <c r="W44" i="33"/>
  <c r="AC30" i="33"/>
  <c r="W30" i="33"/>
  <c r="AB13" i="36"/>
  <c r="U13" i="36"/>
  <c r="W32" i="36"/>
  <c r="AC32" i="36"/>
  <c r="S11" i="35"/>
  <c r="AA11" i="35"/>
  <c r="U11" i="35"/>
  <c r="AB11" i="35"/>
  <c r="S46" i="34"/>
  <c r="AA46" i="34"/>
  <c r="AC32" i="34"/>
  <c r="AA17" i="33"/>
  <c r="S17" i="33"/>
  <c r="W27" i="40"/>
  <c r="AC27" i="40"/>
  <c r="AA37" i="40"/>
  <c r="S37" i="40"/>
  <c r="AC19" i="39"/>
  <c r="W19" i="39"/>
  <c r="AB42" i="39"/>
  <c r="U42" i="39"/>
  <c r="S19" i="39"/>
  <c r="AA19" i="39"/>
  <c r="AA19" i="21"/>
  <c r="S19" i="21"/>
  <c r="AB33" i="21"/>
  <c r="U33" i="21"/>
  <c r="AA10" i="21"/>
  <c r="S10" i="21"/>
  <c r="AA42" i="21"/>
  <c r="S42" i="21"/>
  <c r="B71" i="43"/>
  <c r="C21" i="39"/>
  <c r="C27" i="39"/>
  <c r="B74" i="43"/>
  <c r="B85" i="43"/>
  <c r="C23" i="40"/>
  <c r="AB40" i="33"/>
  <c r="U40" i="33"/>
  <c r="J26" i="33"/>
  <c r="F26" i="33"/>
  <c r="U32" i="35"/>
  <c r="U31" i="35"/>
  <c r="AA31" i="36"/>
  <c r="U14" i="37"/>
  <c r="F39" i="37"/>
  <c r="F45" i="39"/>
  <c r="J23" i="35"/>
  <c r="H9" i="36"/>
  <c r="J9" i="36"/>
  <c r="F9" i="36"/>
  <c r="C25" i="40"/>
  <c r="E23" i="59"/>
  <c r="E22" i="59" s="1"/>
  <c r="U24" i="59"/>
  <c r="B23" i="59"/>
  <c r="B22" i="59" s="1"/>
  <c r="S24" i="59"/>
  <c r="Y25" i="59"/>
  <c r="Z25" i="59" s="1"/>
  <c r="C26" i="59"/>
  <c r="AB25" i="59"/>
  <c r="AB3" i="59"/>
  <c r="AB22" i="59"/>
  <c r="AB24" i="59"/>
  <c r="F26" i="59"/>
  <c r="F27" i="59" s="1"/>
  <c r="F28" i="59" s="1"/>
  <c r="V28" i="59" s="1"/>
  <c r="M19" i="43"/>
  <c r="U36" i="59"/>
  <c r="B75" i="43"/>
  <c r="B55" i="43"/>
  <c r="B66" i="43"/>
  <c r="C62" i="59"/>
  <c r="D63" i="59"/>
  <c r="AA22" i="59"/>
  <c r="AA24" i="59"/>
  <c r="AA21" i="59"/>
  <c r="Y23" i="59"/>
  <c r="Z23" i="59" s="1"/>
  <c r="Y22" i="59"/>
  <c r="Z22" i="59" s="1"/>
  <c r="T24" i="59"/>
  <c r="D24" i="59"/>
  <c r="X25" i="59"/>
  <c r="B26" i="59"/>
  <c r="B27" i="59" s="1"/>
  <c r="B28" i="59" s="1"/>
  <c r="S28" i="59" s="1"/>
  <c r="X24" i="59"/>
  <c r="X21" i="59"/>
  <c r="C43" i="59"/>
  <c r="D43" i="59" s="1"/>
  <c r="D42" i="59"/>
  <c r="F30" i="59"/>
  <c r="F31" i="59" s="1"/>
  <c r="F32" i="59" s="1"/>
  <c r="V32" i="59" s="1"/>
  <c r="F34" i="59"/>
  <c r="F35" i="59" s="1"/>
  <c r="F36" i="59" s="1"/>
  <c r="V36" i="59" s="1"/>
  <c r="Y5" i="59"/>
  <c r="Z5" i="59" s="1"/>
  <c r="AA6" i="59"/>
  <c r="AA5" i="59"/>
  <c r="Z12" i="43"/>
  <c r="Z13" i="43" s="1"/>
  <c r="Z10" i="43"/>
  <c r="AD12" i="43"/>
  <c r="AD13" i="43" s="1"/>
  <c r="AD10" i="43"/>
  <c r="AH12" i="43"/>
  <c r="AH13" i="43" s="1"/>
  <c r="AH10" i="43"/>
  <c r="X20" i="59"/>
  <c r="AA20" i="59"/>
  <c r="Y19" i="59"/>
  <c r="Z19" i="59" s="1"/>
  <c r="F19" i="59"/>
  <c r="F18" i="59" s="1"/>
  <c r="F17" i="59" s="1"/>
  <c r="F16" i="59" s="1"/>
  <c r="V20" i="59"/>
  <c r="AA15" i="59"/>
  <c r="Y15" i="59"/>
  <c r="Z15" i="59" s="1"/>
  <c r="AA12" i="59"/>
  <c r="X26" i="59"/>
  <c r="X27" i="59"/>
  <c r="AA27" i="59"/>
  <c r="X28" i="59"/>
  <c r="AA28" i="59"/>
  <c r="B30" i="59"/>
  <c r="B31" i="59" s="1"/>
  <c r="B32" i="59" s="1"/>
  <c r="S32" i="59" s="1"/>
  <c r="C30" i="59"/>
  <c r="AA29" i="59"/>
  <c r="X30" i="59"/>
  <c r="AA30" i="59"/>
  <c r="X31" i="59"/>
  <c r="AA31" i="59"/>
  <c r="X32" i="59"/>
  <c r="AA32" i="59"/>
  <c r="B34" i="59"/>
  <c r="B35" i="59" s="1"/>
  <c r="B36" i="59" s="1"/>
  <c r="S36" i="59" s="1"/>
  <c r="C34" i="59"/>
  <c r="AA33" i="59"/>
  <c r="AA34" i="59"/>
  <c r="X6" i="59"/>
  <c r="X7" i="59"/>
  <c r="X5" i="59"/>
  <c r="Y35" i="59"/>
  <c r="Z35" i="59" s="1"/>
  <c r="AA35" i="59"/>
  <c r="AB5" i="59"/>
  <c r="P64" i="59"/>
  <c r="B71" i="59"/>
  <c r="B70" i="59" s="1"/>
  <c r="F71" i="59"/>
  <c r="F70" i="59" s="1"/>
  <c r="AC12" i="43"/>
  <c r="AC13" i="43" s="1"/>
  <c r="AC10" i="43"/>
  <c r="AG12" i="43"/>
  <c r="AG13" i="43" s="1"/>
  <c r="AG10" i="43"/>
  <c r="Y20" i="59"/>
  <c r="Z20" i="59" s="1"/>
  <c r="E11" i="59"/>
  <c r="E10" i="59" s="1"/>
  <c r="E9" i="59" s="1"/>
  <c r="E8" i="59" s="1"/>
  <c r="U12" i="59"/>
  <c r="X17" i="59"/>
  <c r="Y17" i="59"/>
  <c r="Z17" i="59" s="1"/>
  <c r="AB17" i="59"/>
  <c r="AB13" i="59"/>
  <c r="X13" i="59"/>
  <c r="X18" i="59"/>
  <c r="AA13" i="59"/>
  <c r="Y13" i="59"/>
  <c r="Z13" i="59" s="1"/>
  <c r="Y14" i="59"/>
  <c r="Z14" i="59" s="1"/>
  <c r="Y11" i="59"/>
  <c r="Z11" i="59" s="1"/>
  <c r="AB12" i="59"/>
  <c r="AB11" i="59"/>
  <c r="AB9" i="59"/>
  <c r="AB6" i="59"/>
  <c r="Y8" i="59"/>
  <c r="Z8" i="59" s="1"/>
  <c r="Y6" i="59"/>
  <c r="Z6" i="59" s="1"/>
  <c r="Y9" i="59"/>
  <c r="Z9" i="59" s="1"/>
  <c r="AA8" i="59"/>
  <c r="AA7" i="59"/>
  <c r="AA10" i="59"/>
  <c r="X8" i="59"/>
  <c r="X9" i="59"/>
  <c r="P72" i="15"/>
  <c r="C20" i="59"/>
  <c r="AA17" i="59"/>
  <c r="AB18" i="59"/>
  <c r="X11" i="59"/>
  <c r="AA11" i="59"/>
  <c r="AB7" i="59"/>
  <c r="AB8" i="59"/>
  <c r="AB10" i="59"/>
  <c r="Y7" i="59"/>
  <c r="Z7" i="59" s="1"/>
  <c r="Y10" i="59"/>
  <c r="Z10" i="59" s="1"/>
  <c r="AA9" i="59"/>
  <c r="X10" i="59"/>
  <c r="E7" i="59"/>
  <c r="E6" i="59" s="1"/>
  <c r="E5" i="59" s="1"/>
  <c r="U8"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21" i="50"/>
  <c r="M17" i="15"/>
  <c r="F15" i="48"/>
  <c r="H15" i="48" s="1"/>
  <c r="B14" i="48"/>
  <c r="D14" i="48" s="1"/>
  <c r="F13" i="48"/>
  <c r="H13" i="48" s="1"/>
  <c r="F14" i="48"/>
  <c r="H14" i="48" s="1"/>
  <c r="H14" i="62"/>
  <c r="B7" i="62" s="1"/>
  <c r="F126" i="57"/>
  <c r="C10" i="11"/>
  <c r="E13" i="1" s="1"/>
  <c r="C8" i="11" s="1"/>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118" i="57"/>
  <c r="H114" i="57" s="1"/>
  <c r="S29" i="31"/>
  <c r="C116" i="57"/>
  <c r="H112" i="57" s="1"/>
  <c r="C17" i="12"/>
  <c r="B36" i="50"/>
  <c r="B56" i="60"/>
  <c r="H53" i="43"/>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D22" i="9"/>
  <c r="C101" i="9"/>
  <c r="G19" i="9"/>
  <c r="D102" i="9"/>
  <c r="I1" i="61"/>
  <c r="B31" i="1" s="1"/>
  <c r="C102" i="9"/>
  <c r="G20" i="9"/>
  <c r="C32" i="9" s="1"/>
  <c r="D101" i="9"/>
  <c r="D3" i="61"/>
  <c r="B107" i="57" l="1"/>
  <c r="C110" i="57"/>
  <c r="H104" i="57" s="1"/>
  <c r="C120" i="57"/>
  <c r="H116" i="57" s="1"/>
  <c r="B105" i="57"/>
  <c r="S28" i="34"/>
  <c r="AA30" i="34"/>
  <c r="S30" i="34"/>
  <c r="W30" i="34"/>
  <c r="AC30" i="34"/>
  <c r="N60" i="15"/>
  <c r="L60" i="15"/>
  <c r="Q72" i="15" s="1"/>
  <c r="C18" i="12"/>
  <c r="C112" i="9"/>
  <c r="H110" i="9" s="1"/>
  <c r="C114" i="9"/>
  <c r="H112" i="9" s="1"/>
  <c r="C106" i="9"/>
  <c r="H102" i="9" s="1"/>
  <c r="C116" i="9"/>
  <c r="H114" i="9" s="1"/>
  <c r="H107" i="57"/>
  <c r="C114" i="57"/>
  <c r="H109" i="57" s="1"/>
  <c r="F7" i="33"/>
  <c r="J7" i="33"/>
  <c r="W7" i="33" s="1"/>
  <c r="K1" i="61"/>
  <c r="F7" i="35"/>
  <c r="AA7" i="35" s="1"/>
  <c r="R38" i="35" s="1"/>
  <c r="T20" i="59"/>
  <c r="D20" i="59"/>
  <c r="C19" i="59"/>
  <c r="C35" i="59"/>
  <c r="D34" i="59"/>
  <c r="F15" i="59"/>
  <c r="F14" i="59" s="1"/>
  <c r="F13" i="59" s="1"/>
  <c r="F12" i="59" s="1"/>
  <c r="V16" i="59"/>
  <c r="C27" i="59"/>
  <c r="D26" i="59"/>
  <c r="AC9" i="36"/>
  <c r="W9" i="36"/>
  <c r="AC23" i="35"/>
  <c r="W23" i="35"/>
  <c r="AA39" i="37"/>
  <c r="S39" i="37"/>
  <c r="AC26" i="33"/>
  <c r="W26" i="33"/>
  <c r="AA45" i="21"/>
  <c r="S45" i="21"/>
  <c r="W31" i="21"/>
  <c r="AC31" i="21"/>
  <c r="AB13" i="21"/>
  <c r="U13" i="21"/>
  <c r="AB9" i="21"/>
  <c r="U9" i="21"/>
  <c r="C31" i="59"/>
  <c r="D30" i="59"/>
  <c r="O62" i="59"/>
  <c r="O61" i="59"/>
  <c r="D62" i="59"/>
  <c r="S9" i="36"/>
  <c r="AA9" i="36"/>
  <c r="U9" i="36"/>
  <c r="AB9" i="36"/>
  <c r="AA45" i="39"/>
  <c r="S45" i="39"/>
  <c r="AA26" i="33"/>
  <c r="S26" i="33"/>
  <c r="U45" i="21"/>
  <c r="AB45" i="21"/>
  <c r="AB31" i="21"/>
  <c r="U31" i="21"/>
  <c r="W13" i="21"/>
  <c r="AC13" i="21"/>
  <c r="W9" i="21"/>
  <c r="AC9" i="21"/>
  <c r="B11" i="59"/>
  <c r="B10" i="59" s="1"/>
  <c r="B9" i="59" s="1"/>
  <c r="B8" i="59" s="1"/>
  <c r="S12" i="59"/>
  <c r="C18" i="15"/>
  <c r="C16" i="15"/>
  <c r="J7" i="35"/>
  <c r="C30" i="11"/>
  <c r="C48" i="11"/>
  <c r="C32" i="15"/>
  <c r="D5" i="43"/>
  <c r="Q59" i="15"/>
  <c r="C21" i="12"/>
  <c r="C22" i="12" s="1"/>
  <c r="C30" i="12" s="1"/>
  <c r="C28" i="12" s="1"/>
  <c r="C33" i="11"/>
  <c r="C39" i="11" s="1"/>
  <c r="C46" i="11" s="1"/>
  <c r="C45" i="11" s="1"/>
  <c r="D9" i="48"/>
  <c r="E3" i="4"/>
  <c r="D7" i="62"/>
  <c r="C7" i="62"/>
  <c r="U7" i="37"/>
  <c r="C50" i="15"/>
  <c r="F60" i="15"/>
  <c r="D113" i="43"/>
  <c r="D65" i="40"/>
  <c r="E63" i="40"/>
  <c r="AA7" i="37"/>
  <c r="R42" i="37" s="1"/>
  <c r="R43" i="37" s="1"/>
  <c r="L49" i="15"/>
  <c r="I20" i="43"/>
  <c r="B14" i="1"/>
  <c r="AC7" i="37"/>
  <c r="V42" i="37" s="1"/>
  <c r="I42" i="37" s="1"/>
  <c r="W7" i="37"/>
  <c r="AB7" i="33"/>
  <c r="T48" i="33" s="1"/>
  <c r="G48" i="33" s="1"/>
  <c r="U7" i="33"/>
  <c r="F58" i="21"/>
  <c r="E59" i="34"/>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C19" i="43"/>
  <c r="P24" i="43"/>
  <c r="B66" i="40" s="1"/>
  <c r="P21" i="43"/>
  <c r="B71" i="39" s="1"/>
  <c r="P23" i="43"/>
  <c r="P22" i="43"/>
  <c r="P28" i="43"/>
  <c r="N28" i="43"/>
  <c r="M28" i="43"/>
  <c r="O28" i="43"/>
  <c r="G20" i="43" s="1"/>
  <c r="E41" i="43" s="1"/>
  <c r="C41" i="43" s="1"/>
  <c r="F11" i="15"/>
  <c r="M11" i="15"/>
  <c r="J10" i="15" s="1"/>
  <c r="J5" i="15" s="1"/>
  <c r="G1" i="61"/>
  <c r="C19" i="15" l="1"/>
  <c r="C20" i="15" s="1"/>
  <c r="C26" i="15" s="1"/>
  <c r="S7" i="35"/>
  <c r="AC7" i="33"/>
  <c r="V48" i="33" s="1"/>
  <c r="I48" i="33" s="1"/>
  <c r="I52" i="33" s="1"/>
  <c r="J52" i="33" s="1"/>
  <c r="E27" i="1"/>
  <c r="F24" i="15" s="1"/>
  <c r="D31" i="59"/>
  <c r="C32" i="59"/>
  <c r="D27" i="59"/>
  <c r="C28" i="59"/>
  <c r="F11" i="59"/>
  <c r="F10" i="59" s="1"/>
  <c r="F9" i="59" s="1"/>
  <c r="F8" i="59" s="1"/>
  <c r="V12" i="59"/>
  <c r="D35" i="59"/>
  <c r="C36" i="59"/>
  <c r="J7" i="36"/>
  <c r="S8" i="59"/>
  <c r="B7" i="59"/>
  <c r="B6" i="59" s="1"/>
  <c r="B5" i="59" s="1"/>
  <c r="C18" i="59"/>
  <c r="D19" i="59"/>
  <c r="H7" i="36"/>
  <c r="AB7" i="36" s="1"/>
  <c r="T36" i="36" s="1"/>
  <c r="G36" i="36" s="1"/>
  <c r="C20" i="43"/>
  <c r="C29" i="43" s="1"/>
  <c r="B5" i="55"/>
  <c r="B55" i="60" s="1"/>
  <c r="B18" i="49"/>
  <c r="B4" i="60"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5" i="12" l="1"/>
  <c r="C27" i="12" s="1"/>
  <c r="C25" i="12" s="1"/>
  <c r="F22" i="11"/>
  <c r="F41" i="11" s="1"/>
  <c r="V8" i="59"/>
  <c r="F7" i="59"/>
  <c r="F6" i="59" s="1"/>
  <c r="F5" i="59" s="1"/>
  <c r="D18" i="59"/>
  <c r="C17" i="59"/>
  <c r="D36" i="59"/>
  <c r="T36" i="59"/>
  <c r="D28" i="59"/>
  <c r="T28" i="59"/>
  <c r="D32" i="59"/>
  <c r="T32"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3" i="15"/>
  <c r="C24" i="15"/>
  <c r="C43" i="11"/>
  <c r="C61" i="15"/>
  <c r="C67" i="15"/>
  <c r="C38" i="15"/>
  <c r="C7" i="11" l="1"/>
  <c r="C5" i="11" s="1"/>
  <c r="C42" i="11"/>
  <c r="C41" i="11" s="1"/>
  <c r="C24" i="11"/>
  <c r="C44" i="11"/>
  <c r="D41" i="11" s="1"/>
  <c r="C26" i="12"/>
  <c r="D25" i="12" s="1"/>
  <c r="C32" i="12" s="1"/>
  <c r="C26" i="11"/>
  <c r="D22" i="11" s="1"/>
  <c r="C16" i="59"/>
  <c r="D17" i="59"/>
  <c r="E33" i="43"/>
  <c r="G36" i="43"/>
  <c r="I36" i="43" s="1"/>
  <c r="E35" i="43"/>
  <c r="E34" i="43"/>
  <c r="G37" i="43"/>
  <c r="I37" i="43" s="1"/>
  <c r="G65" i="40"/>
  <c r="H63" i="40"/>
  <c r="J29" i="15"/>
  <c r="B3" i="35"/>
  <c r="B2" i="35"/>
  <c r="H59" i="34"/>
  <c r="R37" i="36"/>
  <c r="E36" i="36"/>
  <c r="K70" i="39"/>
  <c r="L68" i="39"/>
  <c r="I58" i="21"/>
  <c r="C29" i="15"/>
  <c r="J14" i="15" s="1"/>
  <c r="C20" i="11" l="1"/>
  <c r="C23" i="11"/>
  <c r="C49" i="11"/>
  <c r="C51" i="11" s="1"/>
  <c r="C15" i="59"/>
  <c r="T16" i="59"/>
  <c r="D16" i="59"/>
  <c r="C27" i="43"/>
  <c r="C26" i="43"/>
  <c r="B2" i="43" s="1"/>
  <c r="B3" i="43" s="1"/>
  <c r="N51" i="57"/>
  <c r="I63" i="40"/>
  <c r="H65" i="40"/>
  <c r="J58" i="21"/>
  <c r="K58" i="21" s="1"/>
  <c r="L58" i="21" s="1"/>
  <c r="M58" i="21" s="1"/>
  <c r="N58" i="21" s="1"/>
  <c r="O58" i="21" s="1"/>
  <c r="F7" i="2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C28" i="11" l="1"/>
  <c r="C27" i="11" s="1"/>
  <c r="C25" i="11"/>
  <c r="C22" i="11" s="1"/>
  <c r="H7" i="21"/>
  <c r="J7" i="21"/>
  <c r="AC7" i="21" s="1"/>
  <c r="V48" i="21" s="1"/>
  <c r="I48" i="21" s="1"/>
  <c r="C14" i="59"/>
  <c r="D15" i="59"/>
  <c r="C65" i="15"/>
  <c r="M70" i="57"/>
  <c r="N70" i="57" s="1"/>
  <c r="M69" i="57"/>
  <c r="N69" i="57" s="1"/>
  <c r="M68" i="57"/>
  <c r="N68" i="57" s="1"/>
  <c r="M67" i="57"/>
  <c r="N67" i="57" s="1"/>
  <c r="M65" i="57"/>
  <c r="N65" i="57" s="1"/>
  <c r="M66" i="57"/>
  <c r="N66" i="57" s="1"/>
  <c r="J63" i="40"/>
  <c r="I65" i="40"/>
  <c r="AB7" i="21"/>
  <c r="T48" i="21" s="1"/>
  <c r="G48" i="21" s="1"/>
  <c r="U7" i="21"/>
  <c r="W7" i="21"/>
  <c r="J59" i="34"/>
  <c r="M70" i="39"/>
  <c r="N68" i="39"/>
  <c r="S7" i="21"/>
  <c r="AA7" i="21"/>
  <c r="R48" i="21" s="1"/>
  <c r="Q46" i="15"/>
  <c r="C60" i="15"/>
  <c r="C57" i="15"/>
  <c r="C66" i="15" s="1"/>
  <c r="C37" i="15"/>
  <c r="C30" i="15" s="1"/>
  <c r="C39" i="15" s="1"/>
  <c r="Q68" i="15"/>
  <c r="J16" i="15"/>
  <c r="J25" i="15" s="1"/>
  <c r="C31" i="11" l="1"/>
  <c r="C52" i="11" s="1"/>
  <c r="C56" i="11" s="1"/>
  <c r="C57" i="11" s="1"/>
  <c r="C13" i="59"/>
  <c r="D14" i="59"/>
  <c r="N71" i="57"/>
  <c r="O71" i="57" s="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B2" i="11" l="1"/>
  <c r="B3" i="11"/>
  <c r="D13" i="59"/>
  <c r="C12" i="59"/>
  <c r="L63" i="40"/>
  <c r="K65" i="40"/>
  <c r="E52" i="21"/>
  <c r="F52" i="21" s="1"/>
  <c r="E53" i="21"/>
  <c r="F53" i="21" s="1"/>
  <c r="C48" i="21"/>
  <c r="C49" i="21"/>
  <c r="B2" i="21" s="1"/>
  <c r="B3" i="21" s="1"/>
  <c r="J7" i="39"/>
  <c r="H7" i="39"/>
  <c r="F7" i="39"/>
  <c r="L59" i="34"/>
  <c r="C47" i="15"/>
  <c r="J41" i="15"/>
  <c r="J42" i="15" s="1"/>
  <c r="Q54" i="15"/>
  <c r="C43" i="15"/>
  <c r="Q65" i="15"/>
  <c r="Q45" i="15"/>
  <c r="Q51" i="15" s="1"/>
  <c r="Q63" i="15"/>
  <c r="C11" i="59" l="1"/>
  <c r="T12" i="59"/>
  <c r="D12" i="59"/>
  <c r="D35" i="9"/>
  <c r="D34" i="9" s="1"/>
  <c r="L65" i="40"/>
  <c r="M63" i="40"/>
  <c r="AA7" i="39"/>
  <c r="R47" i="39" s="1"/>
  <c r="R48" i="39" s="1"/>
  <c r="S7" i="39"/>
  <c r="M59" i="34"/>
  <c r="N59" i="34" s="1"/>
  <c r="O59" i="34" s="1"/>
  <c r="H7" i="34" s="1"/>
  <c r="AB7" i="39"/>
  <c r="U7" i="39"/>
  <c r="AC7" i="39"/>
  <c r="W7" i="39"/>
  <c r="L58" i="15"/>
  <c r="L61" i="15" s="1"/>
  <c r="D11" i="59" l="1"/>
  <c r="C10" i="59"/>
  <c r="Q64" i="15"/>
  <c r="Q73" i="15" s="1"/>
  <c r="L47" i="15"/>
  <c r="C35" i="9"/>
  <c r="C34" i="9" s="1"/>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E49" i="34" s="1"/>
  <c r="E53" i="34" s="1"/>
  <c r="F53"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57"/>
  <c r="R50" i="34" l="1"/>
  <c r="C49" i="34" s="1"/>
  <c r="E54" i="34"/>
  <c r="F54" i="34" s="1"/>
  <c r="D104" i="57"/>
  <c r="D103" i="57"/>
  <c r="D9" i="59"/>
  <c r="C8" i="59"/>
  <c r="I53" i="34"/>
  <c r="J53" i="34" s="1"/>
  <c r="I54" i="34"/>
  <c r="J54"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50" i="34" l="1"/>
  <c r="B2" i="34" s="1"/>
  <c r="C7" i="59"/>
  <c r="T8" i="59"/>
  <c r="D8" i="59"/>
  <c r="AC7" i="40"/>
  <c r="V42" i="40" s="1"/>
  <c r="I42" i="40" s="1"/>
  <c r="I46" i="40" s="1"/>
  <c r="J46" i="40" s="1"/>
  <c r="W7" i="40"/>
  <c r="S7" i="40"/>
  <c r="AA7" i="40"/>
  <c r="R42" i="40" s="1"/>
  <c r="R43" i="40" s="1"/>
  <c r="AB7" i="40"/>
  <c r="T42" i="40" s="1"/>
  <c r="G42" i="40" s="1"/>
  <c r="G46" i="40" s="1"/>
  <c r="H46" i="40" s="1"/>
  <c r="U7" i="40"/>
  <c r="C19" i="57"/>
  <c r="B3" i="34" l="1"/>
  <c r="C103" i="57"/>
  <c r="D22" i="57"/>
  <c r="G19" i="57"/>
  <c r="C6" i="59"/>
  <c r="D7" i="59"/>
  <c r="G47" i="40"/>
  <c r="H47" i="40" s="1"/>
  <c r="E42" i="40"/>
  <c r="C20" i="57"/>
  <c r="C104" i="57" l="1"/>
  <c r="G20" i="57"/>
  <c r="C105" i="57" s="1"/>
  <c r="M20" i="43"/>
  <c r="C5" i="59"/>
  <c r="D5" i="59" s="1"/>
  <c r="D6" i="59"/>
  <c r="I47" i="40"/>
  <c r="J47" i="40" s="1"/>
  <c r="E47" i="40"/>
  <c r="F47" i="40" s="1"/>
  <c r="E46" i="40"/>
  <c r="F46" i="40" s="1"/>
  <c r="C43" i="40"/>
  <c r="C42" i="40"/>
  <c r="R27" i="31" l="1"/>
  <c r="S27" i="31" s="1"/>
  <c r="C106" i="57"/>
  <c r="T27"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4" i="52"/>
  <c r="B37" i="60" s="1"/>
  <c r="F4" i="52"/>
  <c r="B40" i="60" s="1"/>
  <c r="G4" i="52"/>
  <c r="B41" i="60" s="1"/>
  <c r="D5" i="52"/>
  <c r="B39" i="60" s="1"/>
  <c r="E4" i="52"/>
  <c r="B38" i="60" s="1"/>
  <c r="F5" i="52"/>
  <c r="B42" i="60" s="1"/>
  <c r="N49" i="9"/>
  <c r="M65" i="9" s="1"/>
  <c r="N65" i="9" s="1"/>
  <c r="C33" i="57" l="1"/>
  <c r="R28" i="31"/>
  <c r="T28" i="31" s="1"/>
  <c r="T25" i="31" s="1"/>
  <c r="M63" i="9"/>
  <c r="N63" i="9" s="1"/>
  <c r="N69" i="9" s="1"/>
  <c r="O69" i="9" s="1"/>
  <c r="M64" i="9"/>
  <c r="N64" i="9" s="1"/>
  <c r="M66" i="9"/>
  <c r="N66" i="9" s="1"/>
  <c r="M68" i="9"/>
  <c r="N68" i="9" s="1"/>
  <c r="M67" i="9"/>
  <c r="N67" i="9" s="1"/>
  <c r="E121" i="9"/>
  <c r="D121" i="9" s="1"/>
  <c r="D122" i="9" s="1"/>
  <c r="G121" i="9"/>
  <c r="F121" i="9" s="1"/>
  <c r="F122" i="9" s="1"/>
  <c r="I121" i="9"/>
  <c r="C104" i="9" s="1"/>
  <c r="S28" i="31" l="1"/>
  <c r="S25" i="31" s="1"/>
  <c r="B23" i="31" s="1"/>
  <c r="B24" i="31" s="1"/>
  <c r="B3" i="31" s="1"/>
  <c r="C35" i="57" s="1"/>
  <c r="I125" i="57" s="1"/>
  <c r="H121" i="9"/>
  <c r="C103" i="9" s="1"/>
  <c r="I103" i="9"/>
  <c r="D107" i="9"/>
  <c r="R25" i="31" l="1"/>
  <c r="B2" i="31"/>
  <c r="C34" i="57" s="1"/>
  <c r="H125" i="57" s="1"/>
  <c r="H4" i="52" s="1"/>
  <c r="I4" i="52"/>
  <c r="D111" i="57"/>
  <c r="I105" i="57"/>
  <c r="C108" i="57"/>
  <c r="H122" i="9"/>
  <c r="I102" i="9"/>
  <c r="I110" i="9" s="1"/>
  <c r="D125" i="9" s="1"/>
  <c r="D106" i="9"/>
  <c r="D112" i="9" s="1"/>
  <c r="D113" i="9" s="1"/>
  <c r="I111" i="9" s="1"/>
  <c r="D126" i="9" s="1"/>
  <c r="D45" i="9"/>
  <c r="I104" i="57" l="1"/>
  <c r="D47" i="57" s="1"/>
  <c r="C107" i="57"/>
  <c r="H126" i="57"/>
  <c r="H5" i="52" s="1"/>
  <c r="D110" i="57"/>
  <c r="D121" i="57" s="1"/>
  <c r="D14" i="62"/>
  <c r="B5" i="62" s="1"/>
  <c r="D9" i="50"/>
  <c r="B21" i="60" s="1"/>
  <c r="D30" i="50"/>
  <c r="D116" i="57"/>
  <c r="D117" i="57" s="1"/>
  <c r="N50" i="57"/>
  <c r="N48" i="9"/>
  <c r="D117" i="9"/>
  <c r="I115" i="9" s="1"/>
  <c r="C64" i="9"/>
  <c r="C63" i="9" s="1"/>
  <c r="C67" i="9" s="1"/>
  <c r="C68" i="9" s="1"/>
  <c r="D54" i="9" s="1"/>
  <c r="C78" i="9"/>
  <c r="C73" i="9" s="1"/>
  <c r="D52" i="9"/>
  <c r="D53" i="9"/>
  <c r="D48" i="9" s="1"/>
  <c r="N52" i="9" s="1"/>
  <c r="O57" i="9" s="1"/>
  <c r="C85" i="9"/>
  <c r="C72" i="9"/>
  <c r="C79" i="9" s="1"/>
  <c r="C93" i="9"/>
  <c r="C86" i="9" s="1"/>
  <c r="E14" i="62" l="1"/>
  <c r="I112" i="57"/>
  <c r="D129" i="57" s="1"/>
  <c r="D28" i="50"/>
  <c r="D29" i="50" s="1"/>
  <c r="D7" i="50"/>
  <c r="D8" i="50" s="1"/>
  <c r="B22" i="60" s="1"/>
  <c r="F14" i="62"/>
  <c r="D36" i="50"/>
  <c r="D37" i="50" s="1"/>
  <c r="D38" i="50"/>
  <c r="B62" i="60" s="1"/>
  <c r="I113" i="57"/>
  <c r="D61" i="57"/>
  <c r="N57" i="57" s="1"/>
  <c r="C74" i="57"/>
  <c r="C87" i="57"/>
  <c r="C66" i="57"/>
  <c r="C65" i="57" s="1"/>
  <c r="C69" i="57" s="1"/>
  <c r="C70" i="57" s="1"/>
  <c r="D56" i="57" s="1"/>
  <c r="D54" i="57"/>
  <c r="C80" i="57"/>
  <c r="C75" i="57" s="1"/>
  <c r="C95" i="57"/>
  <c r="C88" i="57" s="1"/>
  <c r="D55" i="57"/>
  <c r="D50" i="57" s="1"/>
  <c r="N54" i="57" s="1"/>
  <c r="D57" i="57"/>
  <c r="N55" i="57" s="1"/>
  <c r="C5" i="62"/>
  <c r="D5" i="62"/>
  <c r="D44" i="50"/>
  <c r="I117" i="57"/>
  <c r="D23" i="50" s="1"/>
  <c r="B34" i="60" s="1"/>
  <c r="Q57" i="9"/>
  <c r="O59" i="9"/>
  <c r="O58" i="9"/>
  <c r="C81" i="9"/>
  <c r="C80" i="9"/>
  <c r="E80" i="9" s="1"/>
  <c r="E81" i="9" s="1"/>
  <c r="C95" i="9"/>
  <c r="D15" i="50" l="1"/>
  <c r="D16" i="50" s="1"/>
  <c r="B30" i="60" s="1"/>
  <c r="B19" i="60"/>
  <c r="C81" i="57"/>
  <c r="D17" i="50"/>
  <c r="D130" i="57"/>
  <c r="C97" i="57"/>
  <c r="D8" i="52"/>
  <c r="G14" i="62"/>
  <c r="B6" i="62" s="1"/>
  <c r="C96" i="9"/>
  <c r="E96" i="9" s="1"/>
  <c r="E97" i="9" s="1"/>
  <c r="C97" i="9"/>
  <c r="D58" i="9" s="1"/>
  <c r="O61" i="9"/>
  <c r="O60" i="9"/>
  <c r="B29" i="60" l="1"/>
  <c r="D9" i="52"/>
  <c r="D10" i="52"/>
  <c r="C82" i="57"/>
  <c r="E82" i="57" s="1"/>
  <c r="E83" i="57" s="1"/>
  <c r="C6" i="62"/>
  <c r="D6" i="62"/>
  <c r="C98" i="57"/>
  <c r="E98" i="57" s="1"/>
  <c r="E99" i="57" s="1"/>
  <c r="C99" i="57" l="1"/>
  <c r="D60" i="57" s="1"/>
  <c r="D58" i="57" s="1"/>
  <c r="N56" i="57" s="1"/>
  <c r="O59" i="57" s="1"/>
  <c r="Q59" i="57" s="1"/>
  <c r="C83" i="57"/>
  <c r="O60" i="57" l="1"/>
  <c r="O61" i="57"/>
  <c r="O62" i="57" s="1"/>
  <c r="O63"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<sst xmlns="http://schemas.openxmlformats.org/spreadsheetml/2006/main" count="6955" uniqueCount="3042">
  <si>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</si>
  <si>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</si>
  <si>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</si>
  <si>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</si>
  <si>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</si>
  <si>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</si>
  <si>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</si>
  <si>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</si>
  <si>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</si>
  <si>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</si>
  <si>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</si>
  <si>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</si>
  <si>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</si>
  <si>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</si>
  <si>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</si>
  <si>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</si>
  <si>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</si>
  <si>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</si>
  <si>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</si>
  <si>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</si>
  <si>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</si>
  <si>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</si>
  <si>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</si>
  <si>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</si>
  <si>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</si>
  <si>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</si>
  <si>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</si>
  <si>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</si>
  <si>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</si>
  <si>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</si>
  <si>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</si>
  <si>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</si>
  <si>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</si>
  <si>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</si>
  <si>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</si>
  <si>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</si>
  <si>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</si>
  <si>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</si>
  <si>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</si>
  <si>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</si>
  <si>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</si>
  <si>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</si>
  <si>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</si>
  <si>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</si>
  <si>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</si>
  <si>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</si>
  <si>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</si>
  <si>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</si>
  <si>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</si>
  <si>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</si>
  <si>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</si>
  <si>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</si>
  <si>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</si>
  <si>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</si>
  <si>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</si>
  <si>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</si>
  <si>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</si>
  <si>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</si>
  <si>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</si>
  <si>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</si>
  <si>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</si>
  <si>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</si>
  <si>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</si>
  <si>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</si>
  <si>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</si>
  <si>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</si>
  <si>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</si>
  <si>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</si>
  <si>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</si>
  <si>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</si>
  <si>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</si>
  <si>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</si>
  <si>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</si>
  <si>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</si>
  <si>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</si>
  <si>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</si>
  <si>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</si>
  <si>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</si>
  <si>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</si>
  <si>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</si>
  <si>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</si>
  <si>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</si>
  <si>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</si>
  <si>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</si>
  <si>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</si>
  <si>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</si>
  <si>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</si>
  <si>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</si>
  <si>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</si>
  <si>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</si>
  <si>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</si>
  <si>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</si>
  <si>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</si>
  <si>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</si>
  <si>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</si>
  <si>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</si>
  <si>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</si>
  <si>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</si>
  <si>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</si>
  <si>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</si>
  <si>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</si>
  <si>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</si>
  <si>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</si>
  <si>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</si>
  <si>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</si>
  <si>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</si>
  <si>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</si>
  <si>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</si>
  <si>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</si>
  <si>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</si>
  <si>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</si>
  <si>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</si>
  <si>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</si>
  <si>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</si>
  <si>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</si>
  <si>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</si>
  <si>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</si>
  <si>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</si>
  <si>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</si>
  <si>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</si>
  <si>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</si>
  <si>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</si>
  <si>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</si>
  <si>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</si>
  <si>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</si>
  <si>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</si>
  <si>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</si>
  <si>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</si>
  <si>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</si>
  <si>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</si>
  <si>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</si>
  <si>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</si>
  <si>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</si>
  <si>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</si>
  <si>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</si>
  <si>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</si>
  <si>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</si>
  <si>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</si>
  <si>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</si>
  <si>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</si>
  <si>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</si>
  <si>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</si>
  <si>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</si>
  <si>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</si>
  <si>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</si>
  <si>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</si>
  <si>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</si>
  <si>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</si>
  <si>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</si>
  <si>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</si>
  <si>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</si>
  <si>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</si>
  <si>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</si>
  <si>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</si>
  <si>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</si>
  <si>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</si>
  <si>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</si>
  <si>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</si>
  <si>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</si>
  <si>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</si>
  <si>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</si>
  <si>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</si>
  <si>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</si>
  <si>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</si>
  <si>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</si>
  <si>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</si>
  <si>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</si>
  <si>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</si>
  <si>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</si>
  <si>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</si>
  <si>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</si>
  <si>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</si>
  <si>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</si>
  <si>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</si>
  <si>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</si>
  <si>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</si>
  <si>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</si>
  <si>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</si>
  <si>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</si>
  <si>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</si>
  <si>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</si>
  <si>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</si>
  <si>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</si>
  <si>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</si>
  <si>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</si>
  <si>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</si>
  <si>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</si>
  <si>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</si>
  <si>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</si>
  <si>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</si>
  <si>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</si>
  <si>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</si>
  <si>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</si>
  <si>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</si>
  <si>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</si>
  <si>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</si>
  <si>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</si>
  <si>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</si>
  <si>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</si>
  <si>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</si>
  <si>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</si>
  <si>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</si>
  <si>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</si>
  <si>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</si>
  <si>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</si>
  <si>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</si>
  <si>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</si>
  <si>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</si>
  <si>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</si>
  <si>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</si>
  <si>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</si>
  <si>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</si>
  <si>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</si>
  <si>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</si>
  <si>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</si>
  <si>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</si>
  <si>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</si>
  <si>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</si>
  <si>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</si>
  <si>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</si>
  <si>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</si>
  <si>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</si>
  <si>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</si>
  <si>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</si>
  <si>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</si>
  <si>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</si>
  <si>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</si>
  <si>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</si>
  <si>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</si>
  <si>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</si>
  <si>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</si>
  <si>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</si>
  <si>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</si>
  <si>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</si>
  <si>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</si>
  <si>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</si>
  <si>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</si>
  <si>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</si>
  <si>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</si>
  <si>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</si>
  <si>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</si>
  <si>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</si>
  <si>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</si>
  <si>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</si>
  <si>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</si>
  <si>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</si>
  <si>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</si>
  <si>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</si>
  <si>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</si>
  <si>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</si>
  <si>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</si>
  <si>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</si>
  <si>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</si>
  <si>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</si>
  <si>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</si>
  <si>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</si>
  <si>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</si>
  <si>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</si>
  <si>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</si>
  <si>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</si>
  <si>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</si>
  <si>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</si>
  <si>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</si>
  <si>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</si>
  <si>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</si>
  <si>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</si>
  <si>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</si>
  <si>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</si>
  <si>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</si>
  <si>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</si>
  <si>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</si>
  <si>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</si>
  <si>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</si>
  <si>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</si>
  <si>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</si>
  <si>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</si>
  <si>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</si>
  <si>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</si>
  <si>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</si>
  <si>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</si>
  <si>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</si>
  <si>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</si>
  <si>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</si>
  <si>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</si>
  <si>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</si>
  <si>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</si>
  <si>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</si>
  <si>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</si>
  <si>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</si>
  <si>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</si>
  <si>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</si>
  <si>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</si>
  <si>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</si>
  <si>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</si>
  <si>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</si>
  <si>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</si>
  <si>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</si>
  <si>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</si>
  <si>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</si>
  <si>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</si>
  <si>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</si>
  <si>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</si>
  <si>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</si>
  <si>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</si>
  <si>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</si>
  <si>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</si>
  <si>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</si>
  <si>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</si>
  <si>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</si>
  <si>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</si>
  <si>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</si>
  <si>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</si>
  <si>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</si>
  <si>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</si>
  <si>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</si>
  <si>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</si>
  <si>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</si>
  <si>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</si>
  <si>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</si>
  <si>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</si>
  <si>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</si>
  <si>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</si>
  <si>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</si>
  <si>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</si>
  <si>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</si>
  <si>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</si>
  <si>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</si>
  <si>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</si>
  <si>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</si>
  <si>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</si>
  <si>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</si>
  <si>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</si>
  <si>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</si>
  <si>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</si>
  <si>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</si>
  <si>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</si>
  <si>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</si>
  <si>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</si>
  <si>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</si>
  <si>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</si>
  <si>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</si>
  <si>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</si>
  <si>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</si>
  <si>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</si>
  <si>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</si>
  <si>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</si>
  <si>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</si>
  <si>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</si>
  <si>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</si>
  <si>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</si>
  <si>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</si>
  <si>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</si>
  <si>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</si>
  <si>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</si>
  <si>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</si>
  <si>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</si>
  <si>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</si>
  <si>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</si>
  <si>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</si>
  <si>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</si>
  <si>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</si>
  <si>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</si>
  <si>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</si>
  <si>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</si>
  <si>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</si>
  <si>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</si>
  <si>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</si>
  <si>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</si>
  <si>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</si>
  <si>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</si>
  <si>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</si>
  <si>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</si>
  <si>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</si>
  <si>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</si>
  <si>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</si>
  <si>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</si>
  <si>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</si>
  <si>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</si>
  <si>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</si>
  <si>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</si>
  <si>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</si>
  <si>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</si>
  <si>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</si>
  <si>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</si>
  <si>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</si>
  <si>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</si>
  <si>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</si>
  <si>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</si>
  <si>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</si>
  <si>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</si>
  <si>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</si>
  <si>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</si>
  <si>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</si>
  <si>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</si>
  <si>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</si>
  <si>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</si>
  <si>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</si>
  <si>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</si>
  <si>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</si>
  <si>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</si>
  <si>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</si>
  <si>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</si>
  <si>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</si>
  <si>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</si>
  <si>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</si>
  <si>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</si>
  <si>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</si>
  <si>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</si>
  <si>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</si>
  <si>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</si>
  <si>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</si>
  <si>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</si>
  <si>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</si>
  <si>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</si>
  <si>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</si>
  <si>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</si>
  <si>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</si>
  <si>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</si>
  <si>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</si>
  <si>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</si>
  <si>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</si>
  <si>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</si>
  <si>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</si>
  <si>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</si>
  <si>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</si>
  <si>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</si>
  <si>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</si>
  <si>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</si>
  <si>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</si>
  <si>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</si>
  <si>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</si>
  <si>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</si>
  <si>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</si>
  <si>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</si>
  <si>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</si>
  <si>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</si>
  <si>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</si>
  <si>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</si>
  <si>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</si>
  <si>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</si>
  <si>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</si>
  <si>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</si>
  <si>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</si>
  <si>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</si>
  <si>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</si>
  <si>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</si>
  <si>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</si>
  <si>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</si>
  <si>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</si>
  <si>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</si>
  <si>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</si>
  <si>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</si>
  <si>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</si>
  <si>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</si>
  <si>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</si>
  <si>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</si>
  <si>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</si>
  <si>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</si>
  <si>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</si>
  <si>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</si>
  <si>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</si>
  <si>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</si>
  <si>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</si>
  <si>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</si>
  <si>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</si>
  <si>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</si>
  <si>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</si>
  <si>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</si>
  <si>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</si>
  <si>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</si>
  <si>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</si>
  <si>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</si>
  <si>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</si>
  <si>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</si>
  <si>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</si>
  <si>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</si>
  <si>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</si>
  <si>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</si>
  <si>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</si>
  <si>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</si>
  <si>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</si>
  <si>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</si>
  <si>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</si>
  <si>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</si>
  <si>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</si>
  <si>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</si>
  <si>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</si>
  <si>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</si>
  <si>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</si>
  <si>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</si>
  <si>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</si>
  <si>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</si>
  <si>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</si>
  <si>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</si>
  <si>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</si>
  <si>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</si>
  <si>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</si>
  <si>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</si>
  <si>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</si>
  <si>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</si>
  <si>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</si>
  <si>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</si>
  <si>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</si>
  <si>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</si>
  <si>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</si>
  <si>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</si>
  <si>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</si>
  <si>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</si>
  <si>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</si>
  <si>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</si>
  <si>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</si>
  <si>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</si>
  <si>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</si>
  <si>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</si>
  <si>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</si>
  <si>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</si>
  <si>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</si>
  <si>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</si>
  <si>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</si>
  <si>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</si>
  <si>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</si>
  <si>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</si>
  <si>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</si>
  <si>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</si>
  <si>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</si>
  <si>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</si>
  <si>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</si>
  <si>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</si>
  <si>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</si>
  <si>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</si>
  <si>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</si>
  <si>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</si>
  <si>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</si>
  <si>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</si>
  <si>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</si>
  <si>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</si>
  <si>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</si>
  <si>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</si>
  <si>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</si>
  <si>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</si>
  <si>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</si>
  <si>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</si>
  <si>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</si>
  <si>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</si>
  <si>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</si>
  <si>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</si>
  <si>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</si>
  <si>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</si>
  <si>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</si>
  <si>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</si>
  <si>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</si>
  <si>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</si>
  <si>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</si>
  <si>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</si>
  <si>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</si>
  <si>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</si>
  <si>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</si>
  <si>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</si>
  <si>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</si>
  <si>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</si>
  <si>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</si>
  <si>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</si>
  <si>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</si>
  <si>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</si>
  <si>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</si>
  <si>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</si>
  <si>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</si>
  <si>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</si>
  <si>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</si>
  <si>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</si>
  <si>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</si>
  <si>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</si>
  <si>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</si>
  <si>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</si>
  <si>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</si>
  <si>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</si>
  <si>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</si>
  <si>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</si>
  <si>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</si>
  <si>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</si>
  <si>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</si>
  <si>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</si>
  <si>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</si>
  <si>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</si>
  <si>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</si>
  <si>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</si>
  <si>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</si>
  <si>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</si>
  <si>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</si>
  <si>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</si>
  <si>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</si>
  <si>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</si>
  <si>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</si>
  <si>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</si>
  <si>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</si>
  <si>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</si>
  <si>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</si>
  <si>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</si>
  <si>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</si>
  <si>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</si>
  <si>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</si>
  <si>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</si>
  <si>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</si>
  <si>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</si>
  <si>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</si>
  <si>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</si>
  <si>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</si>
  <si>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</si>
  <si>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</si>
  <si>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</si>
  <si>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</si>
  <si>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</si>
  <si>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</si>
  <si>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</si>
  <si>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</si>
  <si>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</si>
  <si>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</si>
  <si>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</si>
  <si>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</si>
  <si>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</si>
  <si>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</si>
  <si>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</si>
  <si>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</si>
  <si>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</si>
  <si>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</si>
  <si>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</si>
  <si>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</si>
  <si>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</si>
  <si>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</si>
  <si>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</si>
  <si>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</si>
  <si>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</si>
  <si>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</si>
  <si>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</si>
  <si>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</si>
  <si>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</si>
  <si>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</si>
  <si>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</si>
  <si>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</si>
  <si>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</si>
  <si>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</si>
  <si>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</si>
  <si>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</si>
  <si>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</si>
  <si>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</si>
  <si>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</si>
  <si>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</si>
  <si>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</si>
  <si>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</si>
  <si>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</si>
  <si>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</si>
  <si>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</si>
  <si>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</si>
  <si>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</si>
  <si>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</si>
  <si>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</si>
  <si>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</si>
  <si>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</si>
  <si>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</si>
  <si>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</si>
  <si>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</si>
  <si>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</si>
  <si>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</si>
  <si>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</si>
  <si>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</si>
  <si>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</si>
  <si>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</si>
  <si>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</si>
  <si>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</si>
  <si>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</si>
  <si>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</si>
  <si>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</si>
  <si>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</si>
  <si>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</si>
  <si>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</si>
  <si>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</si>
  <si>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</si>
  <si>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</si>
  <si>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</si>
  <si>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</si>
  <si>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</si>
  <si>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</si>
  <si>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</si>
  <si>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</si>
  <si>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</si>
  <si>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</si>
  <si>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</si>
  <si>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</si>
  <si>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</si>
  <si>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</si>
  <si>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</si>
  <si>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</si>
  <si>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</si>
  <si>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</si>
  <si>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</si>
  <si>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</si>
  <si>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</si>
  <si>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</si>
  <si>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</si>
  <si>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</si>
  <si>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</si>
  <si>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</si>
  <si>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</si>
  <si>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</si>
  <si>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</si>
  <si>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</si>
  <si>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</si>
  <si>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</si>
  <si>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</si>
  <si>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</si>
  <si>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</si>
  <si>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</si>
  <si>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</si>
  <si>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</si>
  <si>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</si>
  <si>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</si>
  <si>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</si>
  <si>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</si>
  <si>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</si>
  <si>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</si>
  <si>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</si>
  <si>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</si>
  <si>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</si>
  <si>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</si>
  <si>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</si>
  <si>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</si>
  <si>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</si>
  <si>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</si>
  <si>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</si>
  <si>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</si>
  <si>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</si>
  <si>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</si>
  <si>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</si>
  <si>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</si>
  <si>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</si>
  <si>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</si>
  <si>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</si>
  <si>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</si>
  <si>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</si>
  <si>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</si>
  <si>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</si>
  <si>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</si>
  <si>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</si>
  <si>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</si>
  <si>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</si>
  <si>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</si>
  <si>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</si>
  <si>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</si>
  <si>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</si>
  <si>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</si>
  <si>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</si>
  <si>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</si>
  <si>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</si>
  <si>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</si>
  <si>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</si>
  <si>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</si>
  <si>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</si>
  <si>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</si>
  <si>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</si>
  <si>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</si>
  <si>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</si>
  <si>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</si>
  <si>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</si>
  <si>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</si>
  <si>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</si>
  <si>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</si>
  <si>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</si>
  <si>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</si>
  <si>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</si>
  <si>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</si>
  <si>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</si>
  <si>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</si>
  <si>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</si>
  <si>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</si>
  <si>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</si>
  <si>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</si>
  <si>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</si>
  <si>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</si>
  <si>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</si>
  <si>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</si>
  <si>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</si>
  <si>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</si>
  <si>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</si>
  <si>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</si>
  <si>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</si>
  <si>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</si>
  <si>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</si>
  <si>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</si>
  <si>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</si>
  <si>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</si>
  <si>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</si>
  <si>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</si>
  <si>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</si>
  <si>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</si>
  <si>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</si>
  <si>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</si>
  <si>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</si>
  <si>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</si>
  <si>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</si>
  <si>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</si>
  <si>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</si>
  <si>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</si>
  <si>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</si>
  <si>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</si>
  <si>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</si>
  <si>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</si>
  <si>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</si>
  <si>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</si>
  <si>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</si>
  <si>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</si>
  <si>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</si>
  <si>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</si>
  <si>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</si>
  <si>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</si>
  <si>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</si>
  <si>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</si>
  <si>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</si>
  <si>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</si>
  <si>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</si>
  <si>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</si>
  <si>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</si>
  <si>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</si>
  <si>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</si>
  <si>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</si>
  <si>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</si>
  <si>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</si>
  <si>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</si>
  <si>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</si>
  <si>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</si>
  <si>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</si>
  <si>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</si>
  <si>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</si>
  <si>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</si>
  <si>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</si>
  <si>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</si>
  <si>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</si>
  <si>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</si>
  <si>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</si>
  <si>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</si>
  <si>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</si>
  <si>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</si>
  <si>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</si>
  <si>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</si>
  <si>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</si>
  <si>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</si>
  <si>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</si>
  <si>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</si>
  <si>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</si>
  <si>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</si>
  <si>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</si>
  <si>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</si>
  <si>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</si>
  <si>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</si>
  <si>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</si>
  <si>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</si>
  <si>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</si>
  <si>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</si>
  <si>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</si>
  <si>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</si>
  <si>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</si>
  <si>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</si>
  <si>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</si>
  <si>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</si>
  <si>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</si>
  <si>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</si>
  <si>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</si>
  <si>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</si>
  <si>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</si>
  <si>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</si>
  <si>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</si>
  <si>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</si>
  <si>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</si>
  <si>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</si>
  <si>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</si>
  <si>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</si>
  <si>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</si>
  <si>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</si>
  <si>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</si>
  <si>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</si>
  <si>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</si>
  <si>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</si>
  <si>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</si>
  <si>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</si>
  <si>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</si>
  <si>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</si>
  <si>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</si>
  <si>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</si>
  <si>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</si>
  <si>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</si>
  <si>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</si>
  <si>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</si>
  <si>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</si>
  <si>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</si>
  <si>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</si>
  <si>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</si>
  <si>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</si>
  <si>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</si>
  <si>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</si>
  <si>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</si>
  <si>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</si>
  <si>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</si>
  <si>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</si>
  <si>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</si>
  <si>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</si>
  <si>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</si>
  <si>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</si>
  <si>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</si>
  <si>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</si>
  <si>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</si>
  <si>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</si>
  <si>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</si>
  <si>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</si>
  <si>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</si>
  <si>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</si>
  <si>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</si>
  <si>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</si>
  <si>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</si>
  <si>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</si>
  <si>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</si>
  <si>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</si>
  <si>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</si>
  <si>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</si>
  <si>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</si>
  <si>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</si>
  <si>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</si>
  <si>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</si>
  <si>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</si>
  <si>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</si>
  <si>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</si>
  <si>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</si>
  <si>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</si>
  <si>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</si>
  <si>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</si>
  <si>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</si>
  <si>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</si>
  <si>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</si>
  <si>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</si>
  <si>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</si>
  <si>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</si>
  <si>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</si>
  <si>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</si>
  <si>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</si>
  <si>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</si>
  <si>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</si>
  <si>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</si>
  <si>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</si>
  <si>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</si>
  <si>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</si>
  <si>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</si>
  <si>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</si>
  <si>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</si>
  <si>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</si>
  <si>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</si>
  <si>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</si>
  <si>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</si>
  <si>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</si>
  <si>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</si>
  <si>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</si>
  <si>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</si>
  <si>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</si>
  <si>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</si>
  <si>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</si>
  <si>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</si>
  <si>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</si>
  <si>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</si>
  <si>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</si>
  <si>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</si>
  <si>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</si>
  <si>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</si>
  <si>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</si>
  <si>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</si>
  <si>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</si>
  <si>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</si>
  <si>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</si>
  <si>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</si>
  <si>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</si>
  <si>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</si>
  <si>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</si>
  <si>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</si>
  <si>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</si>
  <si>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</si>
  <si>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</si>
  <si>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</si>
  <si>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</si>
  <si>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</si>
  <si>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</si>
  <si>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</si>
  <si>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</si>
  <si>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</si>
  <si>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</si>
  <si>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</si>
  <si>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</si>
  <si>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</si>
  <si>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</si>
  <si>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</si>
  <si>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</si>
  <si>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</si>
  <si>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</si>
  <si>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</si>
  <si>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</si>
  <si>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</si>
  <si>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</si>
  <si>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</si>
  <si>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</si>
  <si>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</si>
  <si>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</si>
  <si>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</si>
  <si>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</si>
  <si>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</si>
  <si>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</si>
  <si>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</si>
  <si>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</si>
  <si>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</si>
  <si>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</si>
  <si>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</si>
  <si>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</si>
  <si>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</si>
  <si>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</si>
  <si>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</si>
  <si>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</si>
  <si>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</si>
  <si>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</si>
  <si>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</si>
  <si>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</si>
  <si>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</si>
  <si>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</si>
  <si>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</si>
  <si>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</si>
  <si>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</si>
  <si>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</si>
  <si>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</si>
  <si>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</si>
  <si>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</si>
  <si>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</si>
  <si>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</si>
  <si>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</si>
  <si>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</si>
  <si>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</si>
  <si>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</si>
  <si>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</si>
  <si>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</si>
  <si>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</si>
  <si>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</si>
  <si>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</si>
  <si>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</si>
  <si>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</si>
  <si>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</si>
  <si>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</si>
  <si>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</si>
  <si>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</si>
  <si>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</si>
  <si>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</si>
  <si>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</si>
  <si>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</si>
  <si>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</si>
  <si>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</si>
  <si>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</si>
  <si>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</si>
  <si>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</si>
  <si>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</si>
  <si>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</si>
  <si>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</si>
  <si>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</si>
  <si>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</si>
  <si>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</si>
  <si>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</si>
  <si>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</si>
  <si>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</si>
  <si>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</si>
  <si>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</si>
  <si>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</si>
  <si>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</si>
  <si>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</si>
  <si>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</si>
  <si>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</si>
  <si>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</si>
  <si>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</si>
  <si>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</si>
  <si>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</si>
  <si>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</si>
  <si>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</si>
  <si>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</si>
  <si>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</si>
  <si>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</si>
  <si>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</si>
  <si>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</si>
  <si>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</si>
  <si>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</si>
  <si>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</si>
  <si>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</si>
  <si>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</si>
  <si>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</si>
  <si>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</si>
  <si>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</si>
  <si>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</si>
  <si>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</si>
  <si>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</si>
  <si>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</si>
  <si>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</si>
  <si>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</si>
  <si>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</si>
  <si>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</si>
  <si>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</si>
  <si>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</si>
  <si>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</si>
  <si>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</si>
  <si>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</si>
  <si>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</si>
  <si>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</si>
  <si>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</si>
  <si>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</si>
  <si>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</si>
  <si>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</si>
  <si>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</si>
  <si>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</si>
  <si>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</si>
  <si>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</si>
  <si>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</si>
  <si>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</si>
  <si>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</si>
  <si>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</si>
  <si>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</si>
  <si>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</si>
  <si>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</si>
  <si>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</si>
  <si>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</si>
  <si>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</si>
  <si>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</si>
  <si>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</si>
  <si>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</si>
  <si>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</si>
  <si>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</si>
  <si>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</si>
  <si>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</si>
  <si>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</si>
  <si>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</si>
  <si>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</si>
  <si>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</si>
  <si>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</si>
  <si>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</si>
  <si>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</si>
  <si>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</si>
  <si>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</si>
  <si>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</si>
  <si>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</si>
  <si>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</si>
  <si>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</si>
  <si>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</si>
  <si>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</si>
  <si>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</si>
  <si>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</si>
  <si>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</si>
  <si>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</si>
  <si>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</si>
  <si>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</si>
  <si>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</si>
  <si>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</si>
  <si>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</si>
  <si>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</si>
  <si>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</si>
  <si>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</si>
  <si>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</si>
  <si>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</si>
  <si>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</si>
  <si>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</si>
  <si>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</si>
  <si>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</si>
  <si>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</si>
  <si>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</si>
  <si>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</si>
  <si>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</si>
  <si>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</si>
  <si>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</si>
  <si>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</si>
  <si>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</si>
  <si>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</si>
  <si>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</si>
  <si>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</si>
  <si>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</si>
  <si>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</si>
  <si>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</si>
  <si>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</si>
  <si>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</si>
  <si>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</si>
  <si>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</si>
  <si>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</si>
  <si>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</si>
  <si>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</si>
  <si>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</si>
  <si>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</si>
  <si>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</si>
  <si>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</si>
  <si>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</si>
  <si>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</si>
  <si>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</si>
  <si>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</si>
  <si>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</si>
  <si>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</si>
  <si>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</si>
  <si>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</si>
  <si>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</si>
  <si>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</si>
  <si>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</si>
  <si>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</si>
  <si>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</si>
  <si>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</si>
  <si>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</si>
  <si>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</si>
  <si>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</si>
  <si>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</si>
  <si>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</si>
  <si>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</si>
  <si>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</si>
  <si>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</si>
  <si>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</si>
  <si>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</si>
  <si>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</si>
  <si>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</si>
  <si>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</si>
  <si>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</si>
  <si>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</si>
  <si>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</si>
  <si>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</si>
  <si>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</si>
  <si>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</si>
  <si>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</si>
  <si>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</si>
  <si>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</si>
  <si>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</si>
  <si>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</si>
  <si>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</si>
  <si>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</si>
  <si>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</si>
  <si>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</si>
  <si>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</si>
  <si>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</si>
  <si>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</si>
  <si>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</si>
  <si>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</si>
  <si>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</si>
  <si>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</si>
  <si>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</si>
  <si>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</si>
  <si>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</si>
  <si>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</si>
  <si>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</si>
  <si>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</si>
  <si>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</si>
  <si>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</si>
  <si>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</si>
  <si>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</si>
  <si>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</si>
  <si>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</si>
  <si>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</si>
  <si>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</si>
  <si>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</si>
  <si>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</si>
  <si>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</si>
  <si>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</si>
  <si>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</si>
  <si>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</si>
  <si>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</si>
  <si>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</si>
  <si>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</si>
  <si>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</si>
  <si>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</si>
  <si>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</si>
  <si>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</si>
  <si>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</si>
  <si>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</si>
  <si>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</si>
  <si>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</si>
  <si>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</si>
  <si>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</si>
  <si>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</si>
  <si>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</si>
  <si>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</si>
  <si>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</si>
  <si>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</si>
  <si>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</si>
  <si>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</si>
  <si>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</si>
  <si>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</si>
  <si>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</si>
  <si>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</si>
  <si>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</si>
  <si>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</si>
  <si>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</si>
  <si>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</si>
  <si>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</si>
  <si>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</si>
  <si>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</si>
  <si>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</si>
  <si>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</si>
  <si>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</si>
  <si>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</si>
  <si>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</si>
  <si>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</si>
  <si>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</si>
  <si>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</si>
  <si>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</si>
  <si>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</si>
  <si>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</si>
  <si>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</si>
  <si>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</si>
  <si>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</si>
  <si>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</si>
  <si>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</si>
  <si>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</si>
  <si>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</si>
  <si>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</si>
  <si>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</si>
  <si>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</si>
  <si>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</si>
  <si>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</si>
  <si>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</si>
  <si>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</si>
  <si>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</si>
  <si>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</si>
  <si>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</si>
  <si>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</si>
  <si>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</si>
  <si>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</si>
  <si>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</si>
  <si>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</si>
  <si>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</si>
  <si>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</si>
  <si>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</si>
  <si>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</si>
  <si>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</si>
  <si>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</si>
  <si>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</si>
  <si>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</si>
  <si>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</si>
  <si>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</si>
  <si>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</si>
  <si>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</si>
  <si>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</si>
  <si>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</si>
  <si>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</si>
  <si>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</si>
  <si>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</si>
  <si>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</si>
  <si>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</si>
  <si>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</si>
  <si>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</si>
  <si>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</si>
  <si>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</si>
  <si>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</si>
  <si>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</si>
  <si>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</si>
  <si>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</si>
  <si>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</si>
  <si>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</si>
  <si>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</si>
  <si>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</si>
  <si>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</si>
  <si>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</si>
  <si>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</si>
  <si>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</si>
  <si>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</si>
  <si>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</si>
  <si>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</si>
  <si>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</si>
  <si>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</si>
  <si>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</si>
  <si>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</si>
  <si>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</si>
  <si>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</si>
  <si>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</si>
  <si>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</si>
  <si>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</si>
  <si>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</si>
  <si>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</si>
  <si>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</si>
  <si>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</si>
  <si>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</si>
  <si>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</si>
  <si>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</si>
  <si>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</si>
  <si>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</si>
  <si>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</si>
  <si>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</si>
  <si>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</si>
  <si>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</si>
  <si>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</si>
  <si>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</si>
  <si>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</si>
  <si>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</si>
  <si>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</si>
  <si>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</si>
  <si>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</si>
  <si>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</si>
  <si>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</si>
  <si>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</si>
  <si>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</si>
  <si>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</si>
  <si>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</si>
  <si>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</si>
  <si>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</si>
  <si>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</si>
  <si>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</si>
  <si>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</si>
  <si>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</si>
  <si>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</si>
  <si>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</si>
  <si>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</si>
  <si>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</si>
  <si>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</si>
  <si>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</si>
  <si>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</si>
  <si>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</si>
  <si>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</si>
  <si>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</si>
  <si>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</si>
  <si>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</si>
  <si>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</si>
  <si>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</si>
  <si>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</si>
  <si>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</si>
  <si>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</si>
  <si>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</si>
  <si>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</si>
  <si>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</si>
  <si>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</si>
  <si>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</si>
  <si>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</si>
  <si>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</si>
  <si>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</si>
  <si>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</si>
  <si>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</si>
  <si>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</si>
  <si>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</si>
  <si>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</si>
  <si>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</si>
  <si>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</si>
  <si>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</si>
  <si>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</si>
  <si>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</si>
  <si>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</si>
  <si>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</si>
  <si>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</si>
  <si>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</si>
  <si>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</si>
  <si>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</si>
  <si>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</si>
  <si>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</si>
  <si>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</si>
  <si>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</si>
  <si>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</si>
  <si>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</si>
  <si>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</si>
  <si>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</si>
  <si>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</si>
  <si>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</si>
  <si>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</si>
  <si>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</si>
  <si>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</si>
  <si>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</si>
  <si>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</si>
  <si>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</si>
  <si>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</si>
  <si>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</si>
  <si>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</si>
  <si>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</si>
  <si>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</si>
  <si>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</si>
  <si>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</si>
  <si>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</si>
  <si>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</si>
  <si>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</si>
  <si>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</si>
  <si>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</si>
  <si>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</si>
  <si>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</si>
  <si>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</si>
  <si>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</si>
  <si>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</si>
  <si>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</si>
  <si>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</si>
  <si>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</si>
  <si>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</si>
  <si>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</si>
  <si>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</si>
  <si>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</si>
  <si>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</si>
  <si>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</si>
  <si>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</si>
  <si>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</si>
  <si>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</si>
  <si>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</si>
  <si>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</si>
  <si>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</si>
  <si>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</si>
  <si>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</si>
  <si>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</si>
  <si>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</si>
  <si>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</si>
  <si>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</si>
  <si>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</si>
  <si>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</si>
  <si>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</si>
  <si>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</si>
  <si>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</si>
  <si>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</si>
  <si>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</si>
  <si>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</si>
  <si>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</si>
  <si>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</si>
  <si>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</si>
  <si>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</si>
  <si>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</si>
  <si>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</si>
  <si>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</si>
  <si>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</si>
  <si>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</si>
  <si>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</si>
  <si>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</si>
  <si>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</si>
  <si>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</si>
  <si>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</si>
  <si>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</si>
  <si>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</si>
  <si>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</si>
  <si>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</si>
  <si>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</si>
  <si>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</si>
  <si>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</si>
  <si>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</si>
  <si>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</si>
  <si>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</si>
  <si>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</si>
  <si>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</si>
  <si>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</si>
  <si>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</si>
  <si>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</si>
  <si>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</si>
  <si>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</si>
  <si>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</si>
  <si>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</si>
  <si>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</si>
  <si>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</si>
  <si>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</si>
  <si>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</si>
  <si>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</si>
  <si>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</si>
  <si>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</si>
  <si>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</si>
  <si>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</si>
  <si>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</si>
  <si>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</si>
  <si>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</si>
  <si>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</si>
  <si>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</si>
  <si>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</si>
  <si>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</si>
  <si>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</si>
  <si>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</si>
  <si>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</si>
  <si>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</si>
  <si>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</si>
  <si>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</si>
  <si>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</si>
  <si>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</si>
  <si>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</si>
  <si>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</si>
  <si>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</si>
  <si>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</si>
  <si>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</si>
  <si>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</si>
  <si>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</si>
  <si>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</si>
  <si>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</si>
  <si>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</si>
  <si>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</si>
  <si>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</si>
  <si>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</si>
  <si>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</si>
  <si>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</si>
  <si>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</si>
  <si>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</si>
  <si>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</si>
  <si>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</si>
  <si>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</si>
  <si>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</si>
  <si>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</si>
  <si>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</si>
  <si>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</si>
  <si>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</si>
  <si>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</si>
  <si>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</si>
  <si>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</si>
  <si>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</si>
  <si>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</si>
  <si>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</si>
  <si>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</si>
  <si>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</si>
  <si>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</si>
  <si>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</si>
  <si>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</si>
  <si>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</si>
  <si>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</si>
  <si>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</si>
  <si>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</si>
  <si>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</si>
  <si>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</si>
  <si>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</si>
  <si>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</si>
  <si>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</si>
  <si>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</si>
  <si>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</si>
  <si>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</si>
  <si>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</si>
  <si>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</si>
  <si>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</si>
  <si>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</si>
  <si>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</si>
  <si>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</si>
  <si>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</si>
  <si>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</si>
  <si>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</si>
  <si>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</si>
  <si>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</si>
  <si>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</si>
  <si>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</si>
  <si>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</si>
  <si>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</si>
  <si>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</si>
  <si>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</si>
  <si>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</si>
  <si>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</si>
  <si>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</si>
  <si>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</si>
  <si>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</si>
  <si>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</si>
  <si>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</si>
  <si>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</si>
  <si>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</si>
  <si>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</si>
  <si>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</si>
  <si>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</si>
  <si>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</si>
  <si>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</si>
  <si>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</si>
  <si>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</si>
  <si>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</si>
  <si>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</si>
  <si>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</si>
  <si>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</si>
  <si>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</si>
  <si>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</si>
  <si>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</si>
  <si>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</si>
  <si>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</si>
  <si>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</si>
  <si>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</si>
  <si>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</si>
  <si>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</si>
  <si>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</si>
  <si>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</si>
  <si>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</si>
  <si>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</si>
  <si>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</si>
  <si>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</si>
  <si>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</si>
  <si>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</si>
  <si>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</si>
  <si>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</si>
  <si>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</si>
  <si>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</si>
  <si>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</si>
  <si>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</si>
  <si>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</si>
  <si>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</si>
  <si>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</si>
  <si>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</si>
  <si>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</si>
  <si>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</si>
  <si>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</si>
  <si>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</si>
  <si>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</si>
  <si>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</si>
  <si>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</si>
  <si>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</si>
  <si>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</si>
  <si>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</si>
  <si>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</si>
  <si>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</si>
  <si>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</si>
  <si>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</si>
  <si>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</si>
  <si>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</si>
  <si>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</si>
  <si>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</si>
  <si>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</si>
  <si>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</si>
  <si>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</si>
  <si>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</si>
  <si>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</si>
  <si>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</si>
  <si>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</si>
  <si>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</si>
  <si>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</si>
  <si>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</si>
  <si>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</si>
  <si>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</si>
  <si>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</si>
  <si>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</si>
  <si>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</si>
  <si>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</si>
  <si>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</si>
  <si>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</si>
  <si>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</si>
  <si>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</si>
  <si>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</si>
  <si>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</si>
  <si>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</si>
  <si>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</si>
  <si>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</si>
  <si>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</si>
  <si>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</si>
  <si>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</si>
  <si>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</si>
  <si>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</si>
  <si>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</si>
  <si>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</si>
  <si>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</si>
  <si>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</si>
  <si>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</si>
  <si>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</si>
  <si>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</si>
  <si>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</si>
  <si>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</si>
  <si>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</si>
  <si>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</si>
  <si>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</si>
  <si>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</si>
  <si>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</si>
  <si>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</si>
  <si>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</si>
  <si>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</si>
  <si>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</si>
  <si>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</si>
  <si>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</si>
  <si>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</si>
  <si>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</si>
  <si>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</si>
  <si>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</si>
  <si>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</si>
  <si>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</si>
  <si>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</si>
  <si>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</si>
  <si>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</si>
  <si>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</si>
  <si>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</si>
  <si>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</si>
  <si>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</si>
  <si>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</si>
  <si>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</si>
  <si>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</si>
  <si>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</si>
  <si>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</si>
  <si>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</si>
  <si>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</si>
  <si>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</si>
  <si>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</si>
  <si>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</si>
  <si>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</si>
  <si>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</si>
  <si>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</si>
  <si>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</si>
  <si>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</si>
  <si>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</si>
  <si>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</si>
  <si>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</si>
  <si>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</si>
  <si>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</si>
  <si>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</si>
  <si>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</si>
  <si>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</si>
  <si>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</si>
  <si>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</si>
  <si>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</si>
  <si>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</si>
  <si>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</si>
  <si>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</si>
  <si>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</si>
  <si>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</si>
  <si>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</si>
  <si>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</si>
  <si>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</si>
  <si>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</si>
  <si>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</si>
  <si>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</si>
  <si>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</si>
  <si>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</si>
  <si>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</si>
  <si>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</si>
  <si>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</si>
  <si>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</si>
  <si>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</si>
  <si>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</si>
  <si>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</si>
  <si>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</si>
  <si>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</si>
  <si>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</si>
  <si>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</si>
  <si>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</si>
  <si>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</si>
  <si>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</si>
  <si>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</si>
  <si>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</si>
  <si>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</si>
  <si>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</si>
  <si>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</si>
  <si>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</si>
  <si>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</si>
  <si>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</si>
  <si>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</si>
  <si>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</si>
  <si>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</si>
  <si>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</si>
  <si>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</si>
  <si>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</si>
  <si>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</si>
  <si>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</si>
  <si>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</si>
  <si>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</si>
  <si>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</si>
  <si>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</si>
  <si>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</si>
  <si>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</si>
  <si>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</si>
  <si>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</si>
  <si>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</si>
  <si>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</si>
  <si>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</si>
  <si>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</si>
  <si>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</si>
  <si>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</si>
  <si>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</si>
  <si>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</si>
  <si>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</si>
  <si>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</si>
  <si>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</si>
  <si>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</si>
  <si>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</si>
  <si>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</si>
  <si>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</si>
  <si>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</si>
  <si>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</si>
  <si>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</si>
  <si>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</si>
  <si>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</si>
  <si>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</si>
  <si>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</si>
  <si>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</si>
  <si>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</si>
  <si>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</si>
  <si>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</si>
  <si>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</si>
  <si>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</si>
  <si>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</si>
  <si>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</si>
  <si>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</si>
  <si>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</si>
  <si>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</si>
  <si>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</si>
  <si>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</si>
  <si>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</si>
  <si>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</si>
  <si>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</si>
  <si>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</si>
  <si>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</si>
  <si>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</si>
  <si>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</si>
  <si>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</si>
  <si>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</si>
  <si>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</si>
  <si>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</si>
  <si>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</si>
  <si>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</si>
  <si>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</si>
  <si>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</si>
  <si>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</si>
  <si>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</si>
  <si>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</si>
  <si>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</si>
  <si>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</si>
  <si>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</si>
  <si>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</si>
  <si>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</si>
  <si>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</si>
  <si>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</si>
  <si>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</si>
  <si>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</si>
  <si>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</si>
  <si>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</si>
  <si>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</si>
  <si>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</si>
  <si>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</si>
  <si>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</si>
  <si>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</si>
  <si>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</si>
  <si>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</si>
  <si>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</si>
  <si>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</si>
  <si>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</si>
  <si>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</si>
  <si>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</si>
  <si>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</si>
  <si>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</si>
  <si>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</si>
  <si>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</si>
  <si>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</si>
  <si>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</si>
  <si>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</si>
  <si>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</si>
  <si>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</si>
  <si>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</si>
  <si>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</si>
  <si>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</si>
  <si>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</si>
  <si>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</si>
  <si>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</si>
  <si>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</si>
  <si>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</si>
  <si>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</si>
  <si>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</si>
  <si>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</si>
  <si>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</si>
  <si>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</si>
  <si>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</si>
  <si>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</si>
  <si>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</si>
  <si>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</si>
  <si>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</si>
  <si>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</si>
  <si>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</si>
  <si>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</si>
  <si>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</si>
  <si>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</si>
  <si>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</si>
  <si>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</si>
  <si>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</si>
  <si>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</si>
  <si>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</si>
  <si>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</si>
  <si>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</si>
  <si>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</si>
  <si>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</si>
  <si>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</si>
  <si>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</si>
  <si>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</si>
  <si>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</si>
  <si>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</si>
  <si>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</si>
  <si>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</si>
  <si>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</si>
  <si>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</si>
  <si>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</si>
  <si>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</si>
  <si>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</si>
  <si>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</si>
  <si>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</si>
  <si>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</si>
  <si>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</si>
  <si>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</si>
  <si>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</si>
  <si>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</si>
  <si>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</si>
  <si>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</si>
  <si>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</si>
  <si>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</si>
  <si>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</si>
  <si>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</si>
  <si>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</si>
  <si>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</si>
  <si>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</si>
  <si>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</si>
  <si>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</si>
  <si>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</si>
  <si>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</si>
  <si>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</si>
  <si>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</si>
  <si>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</si>
  <si>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</si>
  <si>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</si>
  <si>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</si>
  <si>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</si>
  <si>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</si>
  <si>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</si>
  <si>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</si>
  <si>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</si>
  <si>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</si>
  <si>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</si>
  <si>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</si>
  <si>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</si>
  <si>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</si>
  <si>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</si>
  <si>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</si>
  <si>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</si>
  <si>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</si>
  <si>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</si>
  <si>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</si>
  <si>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</si>
  <si>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</si>
  <si>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</si>
  <si>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</si>
  <si>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</si>
  <si>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</si>
  <si>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</si>
  <si>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</si>
  <si>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</si>
  <si>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</si>
  <si>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</si>
  <si>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</si>
  <si>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</si>
  <si>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</si>
  <si>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</si>
  <si>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</si>
  <si>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</si>
  <si>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</si>
  <si>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</si>
  <si>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</si>
  <si>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</si>
  <si>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</si>
  <si>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</si>
  <si>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</si>
  <si>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</si>
  <si>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</si>
  <si>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</si>
  <si>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</si>
  <si>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</si>
  <si>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</si>
  <si>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</si>
  <si>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</si>
  <si>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</si>
  <si>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</si>
  <si>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</si>
  <si>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</si>
  <si>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</si>
  <si>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</si>
  <si>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</si>
  <si>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</si>
  <si>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</si>
  <si>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</si>
  <si>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</si>
  <si>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</si>
  <si>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</si>
  <si>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</si>
  <si>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</si>
  <si>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</si>
  <si>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</si>
  <si>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</si>
  <si>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</si>
  <si>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</si>
  <si>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</si>
  <si>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</si>
  <si>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</si>
  <si>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</si>
  <si>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</si>
  <si>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</si>
  <si>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</si>
  <si>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</si>
  <si>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</si>
  <si>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</si>
  <si>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</si>
  <si>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</si>
  <si>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</si>
  <si>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</si>
  <si>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</si>
  <si>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</si>
  <si>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</si>
  <si>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</si>
  <si>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</si>
  <si>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</si>
  <si>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</si>
  <si>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</si>
  <si>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</si>
  <si>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</si>
  <si>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</si>
  <si>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</si>
  <si>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</si>
  <si>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</si>
  <si>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</si>
  <si>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</si>
  <si>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</si>
  <si>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</si>
  <si>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</si>
  <si>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</si>
  <si>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</si>
  <si>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</si>
  <si>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</si>
  <si>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</si>
  <si>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</si>
  <si>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</si>
  <si>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</si>
  <si>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</si>
  <si>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</si>
  <si>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</si>
  <si>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</si>
  <si>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</si>
  <si>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</si>
  <si>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</si>
  <si>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</si>
  <si>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</si>
  <si>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</si>
  <si>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</si>
  <si>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</si>
  <si>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</si>
  <si>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</si>
  <si>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</si>
  <si>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</si>
  <si>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</si>
  <si>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</si>
  <si>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</si>
  <si>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</si>
  <si>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</si>
  <si>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</si>
  <si>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</si>
  <si>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</si>
  <si>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</si>
  <si>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</si>
  <si>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</si>
  <si>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</si>
  <si>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</si>
  <si>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</si>
  <si>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</si>
  <si>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</si>
  <si>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</si>
  <si>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</si>
  <si>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</si>
  <si>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</si>
  <si>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</si>
  <si>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</si>
  <si>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</si>
  <si>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</si>
  <si>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</si>
  <si>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</si>
  <si>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</si>
  <si>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</si>
  <si>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</si>
  <si>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</si>
  <si>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</si>
  <si>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</si>
  <si>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</si>
  <si>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</si>
  <si>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</si>
  <si>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</si>
  <si>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</si>
  <si>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</si>
  <si>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</si>
  <si>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</si>
  <si>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</si>
  <si>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</si>
  <si>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</si>
  <si>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</si>
  <si>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</si>
  <si>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</si>
  <si>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</si>
  <si>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</si>
  <si>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</si>
  <si>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</si>
  <si>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</si>
  <si>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</si>
  <si>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</si>
  <si>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</si>
  <si>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</si>
  <si>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</si>
  <si>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</si>
  <si>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</si>
  <si>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</si>
  <si>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</si>
  <si>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</si>
  <si>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</si>
  <si>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</si>
  <si>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</si>
  <si>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</si>
  <si>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</si>
  <si>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</si>
  <si>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</si>
  <si>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</si>
  <si>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</si>
  <si>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</si>
  <si>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</si>
  <si>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</si>
  <si>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</si>
  <si>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</si>
  <si>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</si>
  <si>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</si>
  <si>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</si>
  <si>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</si>
  <si>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</si>
  <si>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</si>
  <si>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</si>
  <si>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</si>
  <si>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</si>
  <si>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</si>
  <si>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</si>
  <si>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</si>
  <si>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</si>
  <si>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</si>
  <si>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</si>
  <si>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</si>
  <si>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</si>
  <si>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</si>
  <si>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</si>
  <si>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</si>
  <si>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</si>
  <si>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</si>
  <si>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</si>
  <si>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</si>
  <si>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</si>
  <si>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</si>
  <si>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</si>
  <si>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</si>
  <si>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</si>
  <si>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</si>
  <si>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</si>
  <si>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</si>
  <si>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</si>
  <si>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</si>
  <si>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</si>
  <si>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</si>
  <si>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</si>
  <si>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</si>
  <si>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</si>
  <si>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</si>
  <si>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</si>
  <si>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</si>
  <si>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</si>
  <si>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</si>
  <si>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</si>
  <si>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</si>
  <si>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</si>
  <si>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</si>
  <si>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</si>
  <si>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</si>
  <si>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</si>
  <si>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</si>
  <si>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</si>
  <si>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</si>
  <si>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</si>
  <si>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</si>
  <si>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</si>
  <si>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</si>
  <si>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</si>
  <si>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</si>
  <si>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</si>
  <si>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</si>
  <si>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</si>
  <si>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</si>
  <si>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</si>
  <si>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</si>
  <si>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</si>
  <si>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</si>
  <si>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</si>
  <si>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</si>
  <si>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</si>
  <si>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</si>
  <si>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</si>
  <si>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</si>
  <si>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</si>
  <si>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</si>
  <si>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</si>
  <si>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</si>
  <si>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</si>
  <si>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</si>
  <si>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</si>
  <si>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</si>
  <si>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</si>
  <si>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</si>
  <si>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</si>
  <si>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</si>
  <si>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</si>
  <si>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</si>
  <si>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</si>
  <si>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</si>
  <si>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</si>
  <si>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</si>
  <si>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</si>
  <si>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</si>
  <si>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</si>
  <si>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</si>
  <si>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</si>
  <si>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</si>
  <si>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</si>
  <si>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</si>
  <si>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</si>
  <si>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</si>
  <si>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</si>
  <si>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</si>
  <si>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</si>
  <si>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</si>
  <si>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</si>
  <si>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</si>
  <si>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</si>
  <si>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</si>
  <si>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</si>
  <si>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</si>
  <si>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</si>
  <si>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</si>
  <si>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</si>
  <si>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</si>
  <si>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</si>
  <si>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</si>
  <si>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</si>
  <si>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</si>
  <si>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</si>
  <si>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</si>
  <si>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</si>
  <si>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</si>
  <si>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</si>
  <si>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</si>
  <si>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</si>
  <si>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</si>
  <si>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</si>
  <si>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</si>
  <si>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</si>
  <si>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</si>
  <si>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</si>
  <si>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</si>
  <si>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</si>
  <si>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</si>
  <si>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</si>
  <si>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</si>
  <si>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</si>
  <si>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</si>
  <si>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</si>
  <si>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</si>
  <si>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</si>
  <si>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</si>
  <si>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</si>
  <si>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</si>
  <si>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</si>
  <si>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</si>
  <si>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</si>
  <si>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</si>
  <si>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</si>
  <si>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</si>
  <si>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</si>
  <si>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</si>
  <si>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</si>
  <si>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</si>
  <si>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</si>
  <si>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</si>
  <si>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</si>
  <si>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</si>
  <si>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</si>
  <si>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</si>
  <si>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</si>
  <si>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</si>
  <si>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</si>
  <si>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</si>
  <si>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</si>
  <si>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</si>
  <si>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</si>
  <si>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</si>
  <si>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</si>
  <si>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</si>
  <si>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</si>
  <si>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</si>
  <si>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</si>
  <si>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</si>
  <si>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</si>
  <si>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</si>
  <si>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</si>
  <si>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</si>
  <si>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</si>
  <si>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</si>
  <si>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</si>
  <si>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</si>
  <si>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</si>
  <si>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</si>
  <si>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</si>
  <si>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</si>
  <si>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</si>
  <si>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</si>
  <si>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</si>
  <si>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</si>
  <si>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</si>
  <si>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</si>
  <si>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</si>
  <si>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</si>
  <si>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</si>
  <si>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</si>
  <si>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</si>
  <si>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</si>
  <si>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</si>
  <si>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</si>
  <si>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</si>
  <si>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</si>
  <si>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</si>
  <si>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</si>
  <si>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</si>
  <si>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</si>
  <si>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</si>
  <si>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</si>
  <si>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</si>
  <si>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</si>
  <si>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</si>
  <si>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</si>
  <si>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</si>
  <si>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</si>
  <si>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</si>
  <si>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</si>
  <si>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</si>
  <si>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</si>
  <si>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</si>
  <si>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</si>
  <si>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</si>
  <si>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</si>
  <si>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</si>
  <si>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</si>
  <si>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</si>
  <si>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</si>
  <si>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</si>
  <si>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</si>
  <si>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</si>
  <si>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</si>
  <si>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</si>
  <si>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</si>
  <si>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</si>
  <si>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</si>
  <si>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</si>
  <si>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</si>
  <si>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</si>
  <si>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</si>
  <si>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</si>
  <si>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</si>
  <si>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</si>
  <si>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</si>
  <si>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</si>
  <si>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</si>
  <si>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</si>
  <si>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</si>
  <si>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</si>
  <si>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</si>
  <si>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</si>
  <si>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</si>
  <si>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</si>
  <si>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</si>
  <si>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</si>
  <si>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</si>
  <si>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</si>
  <si>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</si>
  <si>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</si>
  <si>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</si>
  <si>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</si>
  <si>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</si>
  <si>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</si>
  <si>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</si>
  <si>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</si>
  <si>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</si>
  <si>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</si>
  <si>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</si>
  <si>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</si>
  <si>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</si>
  <si>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</si>
  <si>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</si>
  <si>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</si>
  <si>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</si>
  <si>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</si>
  <si>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</si>
  <si>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</si>
  <si>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</si>
  <si>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</si>
  <si>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</si>
  <si>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</si>
  <si>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</si>
  <si>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</si>
  <si>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</si>
  <si>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</si>
  <si>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</si>
  <si>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</si>
  <si>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</si>
  <si>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</si>
  <si>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</si>
  <si>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</si>
  <si>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</si>
  <si>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</si>
  <si>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</si>
  <si>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</si>
  <si>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</si>
  <si>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</si>
  <si>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</si>
  <si>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</si>
  <si>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</si>
  <si>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</si>
  <si>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</si>
  <si>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</si>
  <si>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</si>
  <si>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</si>
  <si>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</si>
  <si>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</si>
  <si>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</si>
  <si>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</si>
  <si>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</si>
  <si>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</si>
  <si>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</si>
  <si>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</si>
  <si>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</si>
  <si>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</si>
  <si>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</si>
  <si>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</si>
  <si>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</si>
  <si>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</si>
  <si>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</si>
  <si>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</si>
  <si>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</si>
  <si>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</si>
  <si>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</si>
  <si>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</si>
  <si>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</si>
  <si>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</si>
  <si>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</si>
  <si>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</si>
  <si>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</si>
  <si>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</si>
  <si>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</si>
  <si>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</si>
  <si>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</si>
  <si>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</si>
  <si>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</si>
  <si>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</si>
  <si>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</si>
  <si>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</si>
  <si>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</si>
  <si>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</si>
  <si>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</si>
  <si>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</si>
  <si>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</si>
  <si>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</si>
  <si>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</si>
  <si>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</si>
  <si>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</si>
  <si>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</si>
  <si>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</si>
  <si>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</si>
  <si>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</si>
  <si>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</si>
  <si>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</si>
  <si>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</si>
  <si>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</si>
  <si>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</si>
  <si>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</si>
  <si>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</si>
  <si>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</si>
  <si>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</si>
  <si>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</si>
  <si>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</si>
  <si>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</si>
  <si>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</si>
  <si>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</si>
  <si>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</si>
  <si>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</si>
  <si>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</si>
  <si>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</si>
  <si>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</si>
  <si>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</si>
  <si>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</si>
  <si>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</si>
  <si>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</si>
  <si>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</si>
  <si>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</si>
  <si>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</si>
  <si>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</si>
  <si>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</si>
  <si>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</si>
  <si>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</si>
  <si>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</si>
  <si>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</si>
  <si>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</si>
  <si>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</si>
  <si>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</si>
  <si>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</si>
  <si>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</si>
  <si>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</si>
  <si>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</si>
  <si>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</si>
  <si>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</si>
  <si>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</si>
  <si>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</si>
  <si>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</si>
  <si>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</si>
  <si>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</si>
  <si>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</si>
  <si>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</si>
  <si>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</si>
  <si>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</si>
  <si>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</si>
  <si>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</si>
  <si>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</si>
  <si>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</si>
  <si>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</si>
  <si>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</si>
  <si>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</si>
  <si>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</si>
  <si>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</si>
  <si>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</si>
  <si>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</si>
  <si>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</si>
  <si>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</si>
  <si>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</si>
  <si>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</si>
  <si>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</si>
  <si>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</si>
  <si>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</si>
  <si>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</si>
  <si>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</si>
  <si>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</si>
  <si>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</si>
  <si>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</si>
  <si>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</si>
  <si>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</si>
  <si>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</si>
  <si>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</si>
  <si>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</si>
  <si>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</si>
  <si>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</si>
  <si>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</si>
  <si>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</si>
  <si>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</si>
  <si>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</si>
  <si>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</si>
  <si>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</si>
  <si>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</si>
  <si>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</si>
  <si>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</si>
  <si>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</si>
  <si>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</si>
  <si>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</si>
  <si>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</si>
  <si>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</si>
  <si>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</si>
  <si>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</si>
  <si>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</si>
  <si>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</si>
  <si>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</si>
  <si>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</si>
  <si>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</si>
  <si>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</si>
  <si>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</si>
  <si>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</si>
  <si>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</si>
  <si>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</si>
  <si>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</si>
  <si>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</si>
  <si>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</si>
  <si>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</si>
  <si>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</si>
  <si>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</si>
  <si>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</si>
  <si>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</si>
  <si>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</si>
  <si>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</si>
  <si>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</si>
  <si>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</si>
  <si>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</si>
  <si>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</si>
  <si>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</si>
  <si>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</si>
  <si>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</si>
  <si>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</si>
  <si>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</si>
  <si>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</si>
  <si>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</si>
  <si>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</si>
  <si>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</si>
  <si>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</si>
  <si>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</si>
  <si>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</si>
  <si>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</si>
  <si>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</si>
  <si>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</si>
  <si>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</si>
  <si>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</si>
  <si>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</si>
  <si>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</si>
  <si>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</si>
  <si>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</si>
  <si>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</si>
  <si>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</si>
  <si>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</si>
  <si>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</si>
  <si>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</si>
  <si>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</si>
  <si>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</si>
  <si>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</si>
  <si>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</si>
  <si>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</si>
  <si>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</si>
  <si>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</si>
  <si>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</si>
  <si>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</si>
  <si>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</si>
  <si>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</si>
  <si>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</si>
  <si>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</si>
  <si>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</si>
  <si>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</si>
  <si>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</si>
  <si>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</si>
  <si>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</si>
  <si>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</si>
  <si>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</si>
  <si>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</si>
  <si>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</si>
  <si>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</si>
  <si>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</si>
  <si>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</si>
  <si>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</si>
  <si>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</si>
  <si>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</si>
  <si>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</si>
  <si>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</si>
  <si>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</si>
  <si>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</si>
  <si>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</si>
  <si>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</si>
  <si>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</si>
  <si>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</si>
  <si>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</si>
  <si>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</si>
  <si>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</si>
  <si>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</si>
  <si>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</si>
  <si>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</si>
  <si>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</si>
  <si>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</si>
  <si>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</si>
  <si>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</si>
  <si>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</si>
  <si>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</si>
  <si>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</si>
  <si>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</si>
  <si>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</si>
  <si>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</si>
  <si>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</si>
  <si>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</si>
  <si>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</si>
  <si>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</si>
  <si>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</si>
  <si>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</si>
  <si>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</si>
  <si>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</si>
  <si>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</si>
  <si>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</si>
  <si>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</si>
  <si>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</si>
  <si>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</si>
  <si>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</si>
  <si>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</si>
  <si>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</si>
  <si>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</si>
  <si>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</si>
  <si>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</si>
  <si>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</si>
  <si>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</si>
  <si>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</si>
  <si>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</si>
  <si>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</si>
  <si>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</si>
  <si>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</si>
  <si>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</si>
  <si>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</si>
  <si>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</si>
  <si>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</si>
  <si>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</si>
  <si>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</si>
  <si>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</si>
  <si>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</si>
  <si>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</si>
  <si>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</si>
  <si>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</si>
  <si>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</si>
  <si>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</si>
  <si>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</si>
  <si>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</si>
  <si>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</si>
  <si>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</si>
  <si>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</si>
  <si>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</si>
  <si>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</si>
  <si>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</si>
  <si>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</si>
  <si>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</si>
  <si>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</si>
  <si>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</si>
  <si>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</si>
  <si>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</si>
  <si>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</si>
  <si>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</si>
  <si>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</si>
  <si>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</si>
  <si>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</si>
  <si>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</si>
  <si>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</si>
  <si>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</si>
  <si>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</si>
  <si>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</si>
  <si>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</si>
  <si>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</si>
  <si>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</si>
  <si>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</si>
  <si>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</si>
  <si>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</si>
  <si>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</si>
  <si>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</si>
  <si>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</si>
  <si>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</si>
  <si>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</si>
  <si>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</si>
  <si>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</si>
  <si>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</si>
  <si>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</si>
  <si>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</si>
  <si>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</si>
  <si>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</si>
  <si>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</si>
  <si>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</si>
  <si>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</si>
  <si>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</si>
  <si>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</si>
  <si>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</si>
  <si>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</si>
  <si>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</si>
  <si>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</si>
  <si>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</si>
  <si>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</si>
  <si>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</si>
  <si>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</si>
  <si>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</si>
  <si>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</si>
  <si>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</si>
  <si>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</si>
  <si>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</si>
  <si>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</si>
  <si>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</si>
  <si>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</si>
  <si>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</si>
  <si>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</si>
  <si>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</si>
  <si>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</si>
  <si>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</si>
  <si>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</si>
  <si>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</si>
  <si>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</si>
  <si>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</si>
  <si>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</si>
  <si>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</si>
  <si>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</si>
  <si>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</si>
  <si>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</si>
  <si>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</si>
  <si>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</si>
  <si>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</si>
  <si>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</si>
  <si>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</si>
  <si>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</si>
  <si>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</si>
  <si>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</si>
  <si>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</si>
  <si>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</si>
  <si>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</si>
  <si>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</si>
  <si>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</si>
  <si>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</si>
  <si>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</si>
  <si>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</si>
  <si>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</si>
  <si>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</si>
  <si>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</si>
  <si>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</si>
  <si>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</si>
  <si>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</si>
  <si>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</si>
  <si>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</si>
  <si>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</si>
  <si>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</si>
  <si>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</si>
  <si>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</si>
  <si>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</si>
  <si>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</si>
  <si>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</si>
  <si>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</si>
  <si>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</si>
  <si>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</si>
  <si>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</si>
  <si>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</si>
  <si>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</si>
  <si>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</si>
  <si>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</si>
  <si>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</si>
  <si>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</si>
  <si>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</si>
  <si>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</si>
  <si>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</si>
  <si>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</si>
  <si>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</si>
  <si>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</si>
  <si>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</si>
  <si>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</si>
  <si>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</si>
  <si>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</si>
  <si>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</si>
  <si>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</si>
  <si>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</si>
  <si>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</si>
  <si>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</si>
  <si>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</si>
  <si>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</si>
  <si>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</si>
  <si>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</si>
  <si>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</si>
  <si>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</si>
  <si>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</si>
  <si>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</si>
  <si>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</si>
  <si>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</si>
  <si>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</si>
  <si>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</si>
  <si>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</si>
  <si>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</si>
  <si>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</si>
  <si>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</si>
  <si>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</si>
  <si>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</si>
  <si>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</si>
  <si>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</si>
  <si>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</si>
  <si>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</si>
  <si>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</si>
  <si>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</si>
  <si>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</si>
  <si>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</si>
  <si>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</si>
  <si>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</si>
  <si>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</si>
  <si>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</si>
  <si>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</si>
  <si>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</si>
  <si>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</si>
  <si>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</si>
  <si>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</si>
  <si>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</si>
  <si>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</si>
  <si>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</si>
  <si>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</si>
  <si>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</si>
  <si>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</si>
  <si>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</si>
  <si>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</si>
  <si>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</si>
  <si>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</si>
  <si>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</si>
  <si>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</si>
  <si>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</si>
  <si>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</si>
  <si>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</si>
  <si>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</si>
  <si>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</si>
  <si>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</si>
  <si>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</si>
  <si>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</si>
  <si>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</si>
  <si>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</si>
  <si>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</si>
  <si>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</si>
  <si>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</si>
  <si>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</si>
  <si>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</si>
  <si>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</si>
  <si>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</si>
  <si>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</si>
  <si>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</si>
  <si>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</si>
  <si>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</si>
  <si>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</si>
  <si>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</si>
  <si>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</si>
  <si>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自然人</t>
  </si>
  <si>
    <t>抵押</t>
  </si>
  <si>
    <t>房地产抵押价值</t>
  </si>
  <si>
    <t>楼面单价</t>
  </si>
  <si>
    <t>是</t>
  </si>
  <si>
    <t>办公</t>
  </si>
  <si>
    <t>无租约</t>
  </si>
  <si>
    <t>利息：取LPR加浮动点数</t>
  </si>
  <si>
    <t>商务金融用地（办公类）</t>
  </si>
  <si>
    <t>通路</t>
  </si>
  <si>
    <t>通电</t>
  </si>
  <si>
    <t>通讯</t>
  </si>
  <si>
    <t>通上水</t>
  </si>
  <si>
    <t>通下水</t>
  </si>
  <si>
    <t>通热</t>
  </si>
  <si>
    <t>平整</t>
  </si>
  <si>
    <t>仅计算典型户型</t>
  </si>
  <si>
    <t>已包含在土地取得成本中</t>
  </si>
  <si>
    <t>未包含在土地购买价格中</t>
  </si>
  <si>
    <t>钢混</t>
  </si>
  <si>
    <t>非生产用房</t>
  </si>
  <si>
    <t>否</t>
  </si>
  <si>
    <t>收益法</t>
  </si>
  <si>
    <t>比较法-办公</t>
  </si>
  <si>
    <t>链家</t>
    <phoneticPr fontId="146" type="noConversion"/>
  </si>
  <si>
    <t>面积</t>
    <phoneticPr fontId="146" type="noConversion"/>
  </si>
  <si>
    <t>总价</t>
    <phoneticPr fontId="146" type="noConversion"/>
  </si>
  <si>
    <t>单价</t>
    <phoneticPr fontId="146" type="noConversion"/>
  </si>
  <si>
    <t>房天下</t>
    <phoneticPr fontId="146" type="noConversion"/>
  </si>
  <si>
    <r>
      <t>3</t>
    </r>
    <r>
      <rPr>
        <sz val="11"/>
        <color theme="1"/>
        <rFont val="宋体"/>
        <family val="3"/>
        <charset val="134"/>
        <scheme val="minor"/>
      </rPr>
      <t>.9至4.2万元</t>
    </r>
    <phoneticPr fontId="146" type="noConversion"/>
  </si>
  <si>
    <t>东南</t>
    <phoneticPr fontId="146" type="noConversion"/>
  </si>
  <si>
    <t>西</t>
    <phoneticPr fontId="146" type="noConversion"/>
  </si>
  <si>
    <t>办公</t>
    <phoneticPr fontId="26" type="noConversion"/>
  </si>
  <si>
    <t>30-40（含）</t>
  </si>
  <si>
    <t>商住</t>
  </si>
  <si>
    <t>商住</t>
    <phoneticPr fontId="26" type="noConversion"/>
  </si>
  <si>
    <t>钢混</t>
    <phoneticPr fontId="26" type="noConversion"/>
  </si>
  <si>
    <t>精装修</t>
  </si>
  <si>
    <t>精装修</t>
    <phoneticPr fontId="26" type="noConversion"/>
  </si>
  <si>
    <t>复式</t>
  </si>
  <si>
    <t>复式</t>
    <phoneticPr fontId="26" type="noConversion"/>
  </si>
  <si>
    <t>高区</t>
    <phoneticPr fontId="26" type="noConversion"/>
  </si>
  <si>
    <t>中区</t>
  </si>
  <si>
    <t>中区</t>
    <phoneticPr fontId="26" type="noConversion"/>
  </si>
  <si>
    <t>低区</t>
    <phoneticPr fontId="26" type="noConversion"/>
  </si>
  <si>
    <t>中区</t>
    <phoneticPr fontId="146" type="noConversion"/>
  </si>
  <si>
    <t>南北</t>
    <phoneticPr fontId="146" type="noConversion"/>
  </si>
  <si>
    <t>南</t>
    <phoneticPr fontId="146" type="noConversion"/>
  </si>
  <si>
    <t>东南</t>
    <phoneticPr fontId="146" type="noConversion"/>
  </si>
  <si>
    <t>西南</t>
    <phoneticPr fontId="146" type="noConversion"/>
  </si>
  <si>
    <t>东</t>
    <phoneticPr fontId="146" type="noConversion"/>
  </si>
  <si>
    <t>东西</t>
    <phoneticPr fontId="146" type="noConversion"/>
  </si>
  <si>
    <t>东北</t>
    <phoneticPr fontId="146" type="noConversion"/>
  </si>
  <si>
    <t>西</t>
    <phoneticPr fontId="146" type="noConversion"/>
  </si>
  <si>
    <t>西北</t>
    <phoneticPr fontId="146" type="noConversion"/>
  </si>
  <si>
    <t>南</t>
  </si>
  <si>
    <t>朝向</t>
    <phoneticPr fontId="20" type="noConversion"/>
  </si>
  <si>
    <t>西南</t>
  </si>
  <si>
    <t>首开东都汇</t>
    <phoneticPr fontId="4" type="noConversion"/>
  </si>
  <si>
    <t>万元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</si>
</sst>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32" xfId="0" applyFont="1" applyBorder="1" applyAlignment="1" applyProtection="1">
      <alignment horizontal="left" vertical="center" wrapText="1"/>
      <protection locked="0"/>
    </xf>
    <xf numFmtId="0" fontId="217" fillId="0" borderId="32" xfId="0" applyFont="1" applyBorder="1" applyAlignment="1" applyProtection="1">
      <alignment horizontal="left" vertical="center" wrapText="1"/>
      <protection locked="0"/>
    </xf>
    <xf numFmtId="0" fontId="75" fillId="0" borderId="107" xfId="0" applyNumberFormat="1" applyFont="1" applyFill="1" applyBorder="1" applyAlignment="1" applyProtection="1">
      <alignment horizontal="center" vertical="center" wrapText="1"/>
      <protection locked="0"/>
    </xf>
    <xf numFmtId="0" fontId="221" fillId="0" borderId="3"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估价对象为北京市房地产，为XX所有。根据《》[]，估价对象建筑面积为134.43平方米。根据《》[]，估价对象（分摊）出让国有建设用地使用权面积为平方米。估价对象用途为。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2021年12月23日（评估专业人员实地查勘之日）</v>
      </c>
    </row>
    <row r="10" spans="1:2">
      <c r="A10" s="1181" t="s">
        <v>1047</v>
      </c>
      <c r="B10" s="1168" t="str">
        <f>'预评函-1'!A13</f>
        <v>本次估价的“房地产价值”是指在正常市场情况下，在价值时点2021年12月23日，估价对象规划用途为，假定未设立法定优先受偿款下的房地产市场价值。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134.43</v>
      </c>
    </row>
    <row r="19" spans="1:2">
      <c r="A19" s="1181" t="s">
        <v>1056</v>
      </c>
      <c r="B19" s="1168">
        <f ca="1">'预评函-2（1）'!D7</f>
        <v>390</v>
      </c>
    </row>
    <row r="20" spans="1:2">
      <c r="A20" s="1181" t="s">
        <v>1094</v>
      </c>
      <c r="B20" s="1168" t="str">
        <f>'预评函-2（1）'!C7</f>
        <v>总价（万元）</v>
      </c>
    </row>
    <row r="21" spans="1:2">
      <c r="A21" s="1181" t="s">
        <v>1057</v>
      </c>
      <c r="B21" s="1168">
        <f ca="1">'预评函-2（1）'!D9</f>
        <v>29011</v>
      </c>
    </row>
    <row r="22" spans="1:2">
      <c r="A22" s="1181" t="s">
        <v>1058</v>
      </c>
      <c r="B22" s="1168" t="str">
        <f ca="1">'预评函-2（1）'!D8</f>
        <v>叁佰玖拾万元整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390</v>
      </c>
    </row>
    <row r="30" spans="1:2">
      <c r="A30" s="1181" t="s">
        <v>1064</v>
      </c>
      <c r="B30" s="1168" t="str">
        <f ca="1">'预评函-2（1）'!D16</f>
        <v>叁佰玖拾万元整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f>'预评函-2（2）'!E4</f>
        <v>0</v>
      </c>
    </row>
    <row r="39" spans="1:2">
      <c r="A39" s="1181" t="s">
        <v>1073</v>
      </c>
      <c r="B39" s="1168" t="str">
        <f>'预评函-2（2）'!D5</f>
        <v>零元整</v>
      </c>
    </row>
    <row r="40" spans="1:2">
      <c r="A40" s="1181" t="s">
        <v>1074</v>
      </c>
      <c r="B40" s="1168">
        <f>'预评函-2（2）'!F4</f>
        <v>0</v>
      </c>
    </row>
    <row r="41" spans="1:2">
      <c r="A41" s="1181" t="s">
        <v>1075</v>
      </c>
      <c r="B41" s="1168">
        <f>'预评函-2（2）'!G4</f>
        <v>0</v>
      </c>
    </row>
    <row r="42" spans="1:2" s="1178" customFormat="1" ht="15.75" thickBot="1">
      <c r="A42" s="1182" t="s">
        <v>1076</v>
      </c>
      <c r="B42" s="1170" t="str">
        <f>'预评函-2（2）'!F5</f>
        <v>零元整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1187</v>
      </c>
      <c r="B62" s="1168">
        <f ca="1">'预评函-2（1）'!D38</f>
        <v>29011</v>
      </c>
    </row>
    <row r="63" spans="1:2" s="1180" customFormat="1" ht="28.5">
      <c r="A63" s="1184" t="s">
        <v>1188</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1186</v>
      </c>
    </row>
    <row r="70" spans="1:2">
      <c r="A70" s="1181"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1197</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1198</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估价对象为北京市房地产，为XX所有。根据《》[]，估价对象建筑面积为134.43平方米。根据《》[]，估价对象（分摊）出让国有建设用地使用权面积为平方米。估价对象用途为。</v>
      </c>
      <c r="B6" s="1319"/>
      <c r="C6" s="1319"/>
      <c r="D6" s="1319"/>
      <c r="E6" s="1319"/>
      <c r="F6" s="1319"/>
      <c r="G6" s="1319"/>
    </row>
    <row r="7" spans="1:7" ht="18.75">
      <c r="A7" s="1320" t="s">
        <v>1199</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1200</v>
      </c>
      <c r="B9" s="1324"/>
    </row>
    <row r="10" spans="1:7" ht="18">
      <c r="A10" s="1325" t="str">
        <f>TEXT(项目基本情况!D2,"yyyy年m月d日;;")&amp;IF(项目基本情况!B2=项目基本情况!D2,"（评估专业人员实地查勘之日）","")</f>
        <v>2021年12月23日（评估专业人员实地查勘之日）</v>
      </c>
      <c r="B10" s="1326"/>
      <c r="C10" s="1326"/>
      <c r="D10" s="1326"/>
      <c r="E10" s="1326"/>
      <c r="F10" s="1326"/>
      <c r="G10" s="1326"/>
    </row>
    <row r="11" spans="1:7" ht="18.75">
      <c r="A11" s="1317" t="s">
        <v>1201</v>
      </c>
    </row>
    <row r="12" spans="1:7" ht="75">
      <c r="A12" s="1319" t="s">
        <v>1202</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本次估价的“房地产价值”是指在正常市场情况下，在价值时点2021年12月23日，估价对象规划用途为，假定未设立法定优先受偿款下的房地产市场价值。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1196</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1195</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1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8"/>
      <c r="C2" s="3318"/>
      <c r="D2" s="3318"/>
      <c r="E2" s="3318"/>
    </row>
    <row r="3" spans="1:5" ht="13.5" customHeight="1">
      <c r="A3" s="1332"/>
      <c r="B3" s="1332"/>
      <c r="C3" s="1332"/>
      <c r="D3" s="1332"/>
      <c r="E3" s="1332"/>
    </row>
    <row r="4" spans="1:5" ht="19.5" thickBot="1">
      <c r="A4" s="3319" t="str">
        <f>IF(项目基本情况!D5="房地产市场价值","估价结果一览表（市场价值不需本页表格)","估价结果一览表")</f>
        <v>估价结果一览表</v>
      </c>
      <c r="B4" s="3319"/>
      <c r="C4" s="3319"/>
      <c r="D4" s="3319"/>
      <c r="E4" s="3319"/>
    </row>
    <row r="5" spans="1:5" ht="14.25" customHeight="1" thickTop="1">
      <c r="A5" s="1329"/>
      <c r="B5" s="1333" t="s">
        <v>742</v>
      </c>
      <c r="C5" s="3320" t="s">
        <v>775</v>
      </c>
      <c r="D5" s="3321"/>
      <c r="E5" s="1329"/>
    </row>
    <row r="6" spans="1:5" ht="14.25">
      <c r="A6" s="1329"/>
      <c r="B6" s="1334" t="str">
        <f>项目基本情况!I1</f>
        <v>北京市房地产</v>
      </c>
      <c r="C6" s="3322">
        <f>项目基本情况!C12</f>
        <v>134.43</v>
      </c>
      <c r="D6" s="3322"/>
      <c r="E6" s="1329"/>
    </row>
    <row r="7" spans="1:5" ht="14.25">
      <c r="A7" s="1329"/>
      <c r="B7" s="3316" t="s">
        <v>776</v>
      </c>
      <c r="C7" s="1335" t="str">
        <f>IF('数据-取费表'!B3="万元","总价（万元）","总价（元）")</f>
        <v>总价（万元）</v>
      </c>
      <c r="D7" s="1336">
        <f ca="1">IF('数据-取费表'!E3="否",结果表!I102,'结果表 (1修多)'!I104)</f>
        <v>390</v>
      </c>
      <c r="E7" s="1329"/>
    </row>
    <row r="8" spans="1:5" ht="28.5">
      <c r="A8" s="1329"/>
      <c r="B8" s="3316"/>
      <c r="C8" s="1337" t="s">
        <v>1106</v>
      </c>
      <c r="D8" s="1338" t="str">
        <f ca="1">IF('数据-取费表'!B3="万元",NUMBERSTRING(INT(D7*10000),2)&amp;"元整",NUMBERSTRING(INT(D7),2)&amp;"元整")</f>
        <v>叁佰玖拾万元整</v>
      </c>
      <c r="E8" s="1329"/>
    </row>
    <row r="9" spans="1:5" ht="14.25">
      <c r="A9" s="1329"/>
      <c r="B9" s="3316"/>
      <c r="C9" s="1339" t="s">
        <v>1203</v>
      </c>
      <c r="D9" s="1336">
        <f ca="1">IF('数据-取费表'!E3="否",结果表!I103,'结果表 (1修多)'!I105)</f>
        <v>29011</v>
      </c>
      <c r="E9" s="1329"/>
    </row>
    <row r="10" spans="1:5" ht="14.25">
      <c r="A10" s="1329"/>
      <c r="B10" s="3323"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23"/>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23" t="str">
        <f>IF('数据-取费表'!E3="否",结果表!F110,'结果表 (1修多)'!F112)</f>
        <v>3.房地产抵押价值</v>
      </c>
      <c r="C15" s="1330" t="str">
        <f>C7</f>
        <v>总价（万元）</v>
      </c>
      <c r="D15" s="1336">
        <f ca="1">IF('数据-取费表'!E3="否",结果表!I110,'结果表 (1修多)'!I112)</f>
        <v>390</v>
      </c>
      <c r="E15" s="1329"/>
    </row>
    <row r="16" spans="1:5" ht="28.5">
      <c r="A16" s="1329"/>
      <c r="B16" s="3323"/>
      <c r="C16" s="1337" t="s">
        <v>1106</v>
      </c>
      <c r="D16" s="1336" t="str">
        <f ca="1">IF('数据-取费表'!B3="万元",NUMBERSTRING(INT(D15*10000),2)&amp;"元整",NUMBERSTRING(INT(D15),2)&amp;"元整")</f>
        <v>叁佰玖拾万元整</v>
      </c>
      <c r="E16" s="1329"/>
    </row>
    <row r="17" spans="1:5" ht="14.25">
      <c r="A17" s="1329"/>
      <c r="B17" s="3323"/>
      <c r="C17" s="1339" t="s">
        <v>1203</v>
      </c>
      <c r="D17" s="1336">
        <f ca="1">IF('数据-取费表'!E3="否",结果表!I111,'结果表 (1修多)'!I113)</f>
        <v>29011</v>
      </c>
      <c r="E17" s="1329"/>
    </row>
    <row r="18" spans="1:5" ht="14.25">
      <c r="A18" s="1329"/>
      <c r="B18" s="3323" t="str">
        <f>IF('数据-取费表'!E3="否",结果表!F112,'结果表 (1修多)'!F114)</f>
        <v>——</v>
      </c>
      <c r="C18" s="1330" t="str">
        <f>C7</f>
        <v>总价（万元）</v>
      </c>
      <c r="D18" s="1336" t="str">
        <f>IF('数据-取费表'!E3="否",结果表!I112,'结果表 (1修多)'!I114)</f>
        <v>——</v>
      </c>
      <c r="E18" s="1329"/>
    </row>
    <row r="19" spans="1:5" ht="14.25">
      <c r="A19" s="1329"/>
      <c r="B19" s="3323"/>
      <c r="C19" s="1337" t="s">
        <v>1106</v>
      </c>
      <c r="D19" s="1336" t="e">
        <f>IF('数据-取费表'!B3="万元",NUMBERSTRING(INT(D18*10000),2)&amp;"元整",NUMBERSTRING(INT(D18),2)&amp;"元整")</f>
        <v>#VALUE!</v>
      </c>
      <c r="E19" s="1329"/>
    </row>
    <row r="20" spans="1:5" ht="14.25">
      <c r="A20" s="1329"/>
      <c r="B20" s="3323"/>
      <c r="C20" s="1339" t="s">
        <v>1203</v>
      </c>
      <c r="D20" s="1336" t="str">
        <f>IF('数据-取费表'!E3="否",结果表!I113,'结果表 (1修多)'!I115)</f>
        <v>——</v>
      </c>
      <c r="E20" s="1329"/>
    </row>
    <row r="21" spans="1:5" ht="14.25">
      <c r="A21" s="1329"/>
      <c r="B21" s="3316" t="str">
        <f>IF('数据-取费表'!E3="否",结果表!F114,'结果表 (1修多)'!F116)</f>
        <v>——</v>
      </c>
      <c r="C21" s="1335" t="str">
        <f>C7</f>
        <v>总价（万元）</v>
      </c>
      <c r="D21" s="1336" t="str">
        <f>IF('数据-取费表'!E3="否",结果表!I114,'结果表 (1修多)'!I116)</f>
        <v>——</v>
      </c>
      <c r="E21" s="1329"/>
    </row>
    <row r="22" spans="1:5" ht="14.25">
      <c r="A22" s="1329"/>
      <c r="B22" s="3316"/>
      <c r="C22" s="1337" t="s">
        <v>1106</v>
      </c>
      <c r="D22" s="1338" t="e">
        <f>IF('数据-取费表'!B3="万元",NUMBERSTRING(INT(D21*10000),2)&amp;"元整",NUMBERSTRING(INT(D21),2)&amp;"元整")</f>
        <v>#VALUE!</v>
      </c>
      <c r="E22" s="1329"/>
    </row>
    <row r="23" spans="1:5" ht="15" thickBot="1">
      <c r="A23" s="1329"/>
      <c r="B23" s="3317"/>
      <c r="C23" s="1344" t="s">
        <v>1203</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1" t="s">
        <v>1204</v>
      </c>
      <c r="C25" s="3331"/>
      <c r="D25" s="3331"/>
      <c r="E25" s="1329"/>
    </row>
    <row r="26" spans="1:5" ht="18.75" customHeight="1" thickTop="1">
      <c r="A26" s="1329"/>
      <c r="B26" s="3334" t="s">
        <v>1105</v>
      </c>
      <c r="C26" s="3335"/>
      <c r="D26" s="3332" t="s">
        <v>1104</v>
      </c>
      <c r="E26" s="1329"/>
    </row>
    <row r="27" spans="1:5" ht="18.75" customHeight="1">
      <c r="A27" s="1329"/>
      <c r="B27" s="3336"/>
      <c r="C27" s="3337"/>
      <c r="D27" s="3333"/>
      <c r="E27" s="1329"/>
    </row>
    <row r="28" spans="1:5" ht="14.25">
      <c r="A28" s="1329"/>
      <c r="B28" s="3324" t="s">
        <v>776</v>
      </c>
      <c r="C28" s="1346" t="s">
        <v>1107</v>
      </c>
      <c r="D28" s="1347">
        <f ca="1">IF('数据-取费表'!E3="否",结果表!I102,'结果表 (1修多)'!I104)</f>
        <v>390</v>
      </c>
      <c r="E28" s="1329"/>
    </row>
    <row r="29" spans="1:5" ht="28.5">
      <c r="A29" s="1329"/>
      <c r="B29" s="3325"/>
      <c r="C29" s="1348" t="s">
        <v>1106</v>
      </c>
      <c r="D29" s="1349" t="str">
        <f ca="1">IF('数据-取费表'!B3="万元",NUMBERSTRING(INT(D28*10000),2)&amp;"元整",NUMBERSTRING(INT(D28),2)&amp;"元整")</f>
        <v>叁佰玖拾万元整</v>
      </c>
      <c r="E29" s="1329"/>
    </row>
    <row r="30" spans="1:5" ht="14.25">
      <c r="A30" s="1329"/>
      <c r="B30" s="3326"/>
      <c r="C30" s="1339" t="s">
        <v>1109</v>
      </c>
      <c r="D30" s="1350">
        <f ca="1">IF('数据-取费表'!E3="否",结果表!I103,'结果表 (1修多)'!I105)</f>
        <v>29011</v>
      </c>
      <c r="E30" s="1329"/>
    </row>
    <row r="31" spans="1:5" ht="14.25">
      <c r="A31" s="1329"/>
      <c r="B31" s="3329" t="str">
        <f>B10</f>
        <v>2.估价师所知悉的法定优先受偿款</v>
      </c>
      <c r="C31" s="1351" t="s">
        <v>1108</v>
      </c>
      <c r="D31" s="1352">
        <f>IF('数据-取费表'!E3="否",结果表!I105,'结果表 (1修多)'!I107)</f>
        <v>0</v>
      </c>
      <c r="E31" s="1329"/>
    </row>
    <row r="32" spans="1:5" ht="14.25">
      <c r="A32" s="1329"/>
      <c r="B32" s="3338"/>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7" t="str">
        <f>B15</f>
        <v>3.房地产抵押价值</v>
      </c>
      <c r="C36" s="1351" t="str">
        <f>C28</f>
        <v>总价</v>
      </c>
      <c r="D36" s="1352">
        <f ca="1">IF('数据-取费表'!E3="否",结果表!I110,'结果表 (1修多)'!I112)</f>
        <v>390</v>
      </c>
      <c r="E36" s="1329"/>
    </row>
    <row r="37" spans="1:5" ht="28.5">
      <c r="A37" s="1329"/>
      <c r="B37" s="3327"/>
      <c r="C37" s="1348" t="s">
        <v>1106</v>
      </c>
      <c r="D37" s="1353" t="str">
        <f ca="1">IF('数据-取费表'!B3="万元",NUMBERSTRING(INT(D36*10000),2)&amp;"元整",NUMBERSTRING(INT(D36),2)&amp;"元整")</f>
        <v>叁佰玖拾万元整</v>
      </c>
      <c r="E37" s="1329"/>
    </row>
    <row r="38" spans="1:5" ht="14.25">
      <c r="A38" s="1329"/>
      <c r="B38" s="3327"/>
      <c r="C38" s="1339" t="s">
        <v>1110</v>
      </c>
      <c r="D38" s="1350">
        <f ca="1">IF('数据-取费表'!E3="否",结果表!D113,'结果表 (1修多)'!D117)</f>
        <v>29011</v>
      </c>
      <c r="E38" s="1329"/>
    </row>
    <row r="39" spans="1:5" ht="14.25">
      <c r="A39" s="1329"/>
      <c r="B39" s="3328" t="str">
        <f>B18</f>
        <v>——</v>
      </c>
      <c r="C39" s="1351" t="str">
        <f>C28</f>
        <v>总价</v>
      </c>
      <c r="D39" s="1352" t="str">
        <f>IF('数据-取费表'!E3="否",结果表!I112,'结果表 (1修多)'!I114)</f>
        <v>——</v>
      </c>
      <c r="E39" s="1329"/>
    </row>
    <row r="40" spans="1:5" ht="14.25">
      <c r="A40" s="1329"/>
      <c r="B40" s="3328"/>
      <c r="C40" s="1348" t="s">
        <v>1106</v>
      </c>
      <c r="D40" s="1353" t="e">
        <f>IF('数据-取费表'!B3="万元",NUMBERSTRING(INT(D39*10000),2)&amp;"元整",NUMBERSTRING(INT(D39),2)&amp;"元整")</f>
        <v>#VALUE!</v>
      </c>
      <c r="E40" s="1329"/>
    </row>
    <row r="41" spans="1:5" ht="14.25">
      <c r="A41" s="1329"/>
      <c r="B41" s="3328"/>
      <c r="C41" s="1339" t="s">
        <v>1110</v>
      </c>
      <c r="D41" s="1350" t="str">
        <f>IF('数据-取费表'!E3="否",结果表!D115,'结果表 (1修多)'!D119)</f>
        <v>——</v>
      </c>
      <c r="E41" s="1329"/>
    </row>
    <row r="42" spans="1:5" ht="14.25">
      <c r="A42" s="1329"/>
      <c r="B42" s="3327" t="str">
        <f>B21</f>
        <v>——</v>
      </c>
      <c r="C42" s="1351" t="str">
        <f>C28</f>
        <v>总价</v>
      </c>
      <c r="D42" s="1352" t="str">
        <f>IF('数据-取费表'!E3="否",结果表!I114,'结果表 (1修多)'!I116)</f>
        <v>——</v>
      </c>
      <c r="E42" s="1329"/>
    </row>
    <row r="43" spans="1:5" ht="14.25">
      <c r="A43" s="1329"/>
      <c r="B43" s="3329"/>
      <c r="C43" s="1348" t="s">
        <v>1106</v>
      </c>
      <c r="D43" s="1354" t="e">
        <f>IF('数据-取费表'!B3="万元",NUMBERSTRING(INT(D42*10000),2)&amp;"元整",NUMBERSTRING(INT(D42),2)&amp;"元整")</f>
        <v>#VALUE!</v>
      </c>
      <c r="E43" s="1329"/>
    </row>
    <row r="44" spans="1:5" ht="15" thickBot="1">
      <c r="A44" s="1329"/>
      <c r="B44" s="3330"/>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5" t="str">
        <f>IF(项目基本情况!D5="房地产市场价值","估价结果一览表","结果表-2")</f>
        <v>结果表-2</v>
      </c>
      <c r="B1" s="3345"/>
      <c r="C1" s="3345"/>
      <c r="D1" s="3345"/>
      <c r="E1" s="3345"/>
      <c r="F1" s="3345"/>
      <c r="G1" s="3345"/>
      <c r="H1" s="3345"/>
      <c r="I1" s="3345"/>
    </row>
    <row r="2" spans="1:9" ht="30" customHeight="1" thickTop="1">
      <c r="A2" s="3346" t="s">
        <v>1205</v>
      </c>
      <c r="B2" s="3346" t="s">
        <v>1206</v>
      </c>
      <c r="C2" s="3346" t="s">
        <v>1207</v>
      </c>
      <c r="D2" s="3346" t="str">
        <f>IF('数据-取费表'!E3="否",结果表!D119,'结果表 (1修多)'!D123)</f>
        <v>出让国有建设用地使用权价值</v>
      </c>
      <c r="E2" s="3346"/>
      <c r="F2" s="3346" t="s">
        <v>1208</v>
      </c>
      <c r="G2" s="3346"/>
      <c r="H2" s="3346" t="s">
        <v>1209</v>
      </c>
      <c r="I2" s="3346"/>
    </row>
    <row r="3" spans="1:9" ht="15">
      <c r="A3" s="3341"/>
      <c r="B3" s="3341"/>
      <c r="C3" s="3341"/>
      <c r="D3" s="818" t="s">
        <v>1210</v>
      </c>
      <c r="E3" s="818" t="s">
        <v>1211</v>
      </c>
      <c r="F3" s="818" t="s">
        <v>1210</v>
      </c>
      <c r="G3" s="818" t="s">
        <v>1212</v>
      </c>
      <c r="H3" s="818" t="s">
        <v>1210</v>
      </c>
      <c r="I3" s="818" t="s">
        <v>1212</v>
      </c>
    </row>
    <row r="4" spans="1:9" ht="46.5" customHeight="1">
      <c r="A4" s="818" t="str">
        <f>项目基本情况!I1</f>
        <v>北京市房地产</v>
      </c>
      <c r="B4" s="818">
        <f>结果表!B121</f>
        <v>134.43</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390</v>
      </c>
      <c r="I4" s="818">
        <f ca="1">IF('数据-取费表'!E3="否",结果表!I121,'结果表 (1修多)'!I125)</f>
        <v>29011</v>
      </c>
    </row>
    <row r="5" spans="1:9" ht="15">
      <c r="A5" s="3341" t="s">
        <v>1213</v>
      </c>
      <c r="B5" s="3341"/>
      <c r="C5" s="3341"/>
      <c r="D5" s="3339" t="str">
        <f>IF('数据-取费表'!E3="否",结果表!D122,'结果表 (1修多)'!D126)</f>
        <v>零元整</v>
      </c>
      <c r="E5" s="3339"/>
      <c r="F5" s="3339" t="str">
        <f>IF('数据-取费表'!E3="否",结果表!F122,'结果表 (1修多)'!F126)</f>
        <v>零元整</v>
      </c>
      <c r="G5" s="3339"/>
      <c r="H5" s="3339" t="str">
        <f ca="1">IF('数据-取费表'!E3="否",结果表!H122,'结果表 (1修多)'!H126)</f>
        <v>叁佰玖拾万元整</v>
      </c>
      <c r="I5" s="3339"/>
    </row>
    <row r="6" spans="1:9" ht="15.75">
      <c r="A6" s="3340" t="str">
        <f>IF('数据-取费表'!E3="否",结果表!A123,'结果表 (1修多)'!A127)</f>
        <v>估价师所知悉的法定优先受偿款</v>
      </c>
      <c r="B6" s="3340"/>
      <c r="C6" s="3340"/>
      <c r="D6" s="3340">
        <f>IF('数据-取费表'!E3="否",结果表!D123,'结果表 (1修多)'!D127)</f>
        <v>0</v>
      </c>
      <c r="E6" s="3340"/>
      <c r="F6" s="3340"/>
      <c r="G6" s="3340"/>
      <c r="H6" s="3340"/>
      <c r="I6" s="3340"/>
    </row>
    <row r="7" spans="1:9" ht="15">
      <c r="A7" s="3341" t="s">
        <v>1213</v>
      </c>
      <c r="B7" s="3341"/>
      <c r="C7" s="3341"/>
      <c r="D7" s="3342">
        <f>IF('数据-取费表'!E3="否",结果表!D124,'结果表 (1修多)'!D128)</f>
        <v>0</v>
      </c>
      <c r="E7" s="3343"/>
      <c r="F7" s="3343"/>
      <c r="G7" s="3343"/>
      <c r="H7" s="3343"/>
      <c r="I7" s="3344"/>
    </row>
    <row r="8" spans="1:9" ht="15.75">
      <c r="A8" s="3340" t="str">
        <f>IF('数据-取费表'!E3="否",结果表!A125,'结果表 (1修多)'!A129)</f>
        <v>房地产抵押价值</v>
      </c>
      <c r="B8" s="3340"/>
      <c r="C8" s="3340"/>
      <c r="D8" s="3340">
        <f ca="1">IF('数据-取费表'!E3="否",结果表!D125,'结果表 (1修多)'!D129)</f>
        <v>390</v>
      </c>
      <c r="E8" s="3340"/>
      <c r="F8" s="3340"/>
      <c r="G8" s="3340"/>
      <c r="H8" s="3340"/>
      <c r="I8" s="3340"/>
    </row>
    <row r="9" spans="1:9" ht="15">
      <c r="A9" s="3341" t="s">
        <v>1213</v>
      </c>
      <c r="B9" s="3341"/>
      <c r="C9" s="3341"/>
      <c r="D9" s="3339">
        <f ca="1">IF('数据-取费表'!E3="否",结果表!D126,'结果表 (1修多)'!D130)</f>
        <v>29011</v>
      </c>
      <c r="E9" s="3339"/>
      <c r="F9" s="3339"/>
      <c r="G9" s="3339"/>
      <c r="H9" s="3339"/>
      <c r="I9" s="3339"/>
    </row>
    <row r="10" spans="1:9" ht="15.75">
      <c r="A10" s="3340" t="str">
        <f>IF('数据-取费表'!E3="否",结果表!A127,'结果表 (1修多)'!A131)</f>
        <v/>
      </c>
      <c r="B10" s="3340"/>
      <c r="C10" s="3340"/>
      <c r="D10" s="3340">
        <f ca="1">IF('数据-取费表'!E3="否",结果表!D127,'结果表 (1修多)'!D130)</f>
        <v>29011</v>
      </c>
      <c r="E10" s="3340"/>
      <c r="F10" s="3340"/>
      <c r="G10" s="3340"/>
      <c r="H10" s="3340"/>
      <c r="I10" s="3340"/>
    </row>
    <row r="11" spans="1:9" ht="15">
      <c r="A11" s="3341" t="s">
        <v>1213</v>
      </c>
      <c r="B11" s="3341"/>
      <c r="C11" s="3341"/>
      <c r="D11" s="3339" t="str">
        <f>IF('数据-取费表'!E3="否",结果表!D128,'结果表 (1修多)'!D132)</f>
        <v>——</v>
      </c>
      <c r="E11" s="3339"/>
      <c r="F11" s="3339"/>
      <c r="G11" s="3339"/>
      <c r="H11" s="3339"/>
      <c r="I11" s="3339"/>
    </row>
    <row r="12" spans="1:9" ht="15.75">
      <c r="A12" s="3340" t="str">
        <f>IF('数据-取费表'!E3="否",结果表!A129,'结果表 (1修多)'!A133)</f>
        <v/>
      </c>
      <c r="B12" s="3340"/>
      <c r="C12" s="3340"/>
      <c r="D12" s="3340" t="str">
        <f>IF('数据-取费表'!E3="否",结果表!D129,'结果表 (1修多)'!D133)</f>
        <v>——</v>
      </c>
      <c r="E12" s="3340"/>
      <c r="F12" s="3340"/>
      <c r="G12" s="3340"/>
      <c r="H12" s="3340"/>
      <c r="I12" s="3340"/>
    </row>
    <row r="13" spans="1:9" ht="15.75" thickBot="1">
      <c r="A13" s="3347" t="s">
        <v>1213</v>
      </c>
      <c r="B13" s="3347"/>
      <c r="C13" s="3347"/>
      <c r="D13" s="3348">
        <f>IF('数据-取费表'!E3="否",结果表!D130,'结果表 (1修多)'!D134)</f>
        <v>0</v>
      </c>
      <c r="E13" s="3348"/>
      <c r="F13" s="3348"/>
      <c r="G13" s="3348"/>
      <c r="H13" s="3348"/>
      <c r="I13" s="3348"/>
    </row>
    <row r="14" spans="1:9" ht="15" thickTop="1">
      <c r="A14" s="3349" t="str">
        <f>IF('数据-取费表'!E3="否",结果表!A131,'结果表 (1修多)'!A135)</f>
        <v>单位：平方米、万元、元/平方米（币种：人民币）</v>
      </c>
      <c r="B14" s="3349"/>
      <c r="C14" s="3349"/>
      <c r="D14" s="3349"/>
      <c r="E14" s="3349"/>
      <c r="F14" s="3349"/>
      <c r="G14" s="3349"/>
      <c r="H14" s="3349"/>
      <c r="I14" s="3349"/>
    </row>
    <row r="15" spans="1:9">
      <c r="A15" s="605"/>
      <c r="B15" s="605"/>
      <c r="C15" s="605"/>
      <c r="D15" s="605"/>
      <c r="E15" s="605"/>
      <c r="F15" s="605"/>
      <c r="G15" s="605"/>
      <c r="H15" s="605"/>
      <c r="I15" s="605"/>
    </row>
    <row r="16" spans="1:9" ht="18.75">
      <c r="A16" s="1357"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4" t="s">
        <v>1226</v>
      </c>
      <c r="B1" s="3354"/>
      <c r="C1" s="3354"/>
      <c r="D1" s="3354"/>
    </row>
    <row r="2" spans="1:4" ht="18">
      <c r="A2" s="3353" t="s">
        <v>1215</v>
      </c>
      <c r="B2" s="3353"/>
      <c r="C2" s="3353"/>
      <c r="D2" s="3353"/>
    </row>
    <row r="3" spans="1:4" ht="18.75">
      <c r="A3" s="1358" t="s">
        <v>1216</v>
      </c>
      <c r="B3" s="1358" t="s">
        <v>1217</v>
      </c>
      <c r="C3" s="1358" t="s">
        <v>1218</v>
      </c>
      <c r="D3" s="1358" t="s">
        <v>1219</v>
      </c>
    </row>
    <row r="4" spans="1:4" ht="56.25" customHeight="1">
      <c r="A4" s="1359">
        <f>项目基本情况!B3</f>
        <v>0</v>
      </c>
      <c r="B4" s="1360">
        <f>项目基本情况!C3</f>
        <v>0</v>
      </c>
      <c r="C4" s="1361"/>
      <c r="D4" s="1362" t="s">
        <v>1227</v>
      </c>
    </row>
    <row r="5" spans="1:4" ht="56.25" customHeight="1">
      <c r="A5" s="1359">
        <f>项目基本情况!D3</f>
        <v>0</v>
      </c>
      <c r="B5" s="1360">
        <f>项目基本情况!E3</f>
        <v>0</v>
      </c>
      <c r="C5" s="1363"/>
      <c r="D5" s="1362" t="s">
        <v>1227</v>
      </c>
    </row>
    <row r="6" spans="1:4" ht="12" customHeight="1">
      <c r="A6" s="1359"/>
      <c r="B6" s="1360"/>
      <c r="C6" s="1364"/>
      <c r="D6" s="1362"/>
    </row>
    <row r="7" spans="1:4" ht="18">
      <c r="A7" s="3353" t="s">
        <v>1220</v>
      </c>
      <c r="B7" s="3353"/>
      <c r="C7" s="3353"/>
      <c r="D7" s="3353"/>
    </row>
    <row r="8" spans="1:4" ht="18.75">
      <c r="A8" s="1358" t="s">
        <v>1216</v>
      </c>
      <c r="B8" s="1360" t="s">
        <v>1221</v>
      </c>
      <c r="C8" s="1358" t="s">
        <v>1218</v>
      </c>
      <c r="D8" s="1358" t="s">
        <v>1219</v>
      </c>
    </row>
    <row r="9" spans="1:4" ht="56.25" customHeight="1">
      <c r="A9" s="1365" t="s">
        <v>777</v>
      </c>
      <c r="B9" s="1365" t="s">
        <v>778</v>
      </c>
      <c r="C9" s="1361"/>
      <c r="D9" s="1362" t="s">
        <v>1227</v>
      </c>
    </row>
    <row r="11" spans="1:4" ht="18.75">
      <c r="A11" s="1366" t="s">
        <v>1222</v>
      </c>
    </row>
    <row r="12" spans="1:4" ht="30" customHeight="1">
      <c r="A12" s="3350" t="s">
        <v>2680</v>
      </c>
      <c r="B12" s="3352"/>
      <c r="C12" s="3352"/>
      <c r="D12" s="3352"/>
    </row>
    <row r="13" spans="1:4" ht="15.75">
      <c r="A13" s="335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2"/>
      <c r="C13" s="3352"/>
      <c r="D13" s="3352"/>
    </row>
    <row r="14" spans="1:4" ht="30" customHeight="1">
      <c r="A14" s="335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2"/>
      <c r="C14" s="3352"/>
      <c r="D14" s="3352"/>
    </row>
    <row r="15" spans="1:4" ht="15.75" customHeight="1">
      <c r="A15" s="3350" t="str">
        <f>IF(项目基本情况!D4="抵押","4.本次评估估价师所知悉的法定优先受偿款情况说明如下：","——")</f>
        <v>4.本次评估估价师所知悉的法定优先受偿款情况说明如下：</v>
      </c>
      <c r="B15" s="3352"/>
      <c r="C15" s="3352"/>
      <c r="D15" s="3352"/>
    </row>
    <row r="16" spans="1:4" ht="75" customHeight="1">
      <c r="A16" s="3350"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0"/>
      <c r="C16" s="3350"/>
      <c r="D16" s="3350"/>
    </row>
    <row r="17" spans="1:4" ht="63.75" customHeight="1">
      <c r="A17" s="3351" t="s">
        <v>1228</v>
      </c>
      <c r="B17" s="3351"/>
      <c r="C17" s="3351"/>
      <c r="D17" s="3351"/>
    </row>
    <row r="18" spans="1:4" ht="15.75" customHeight="1">
      <c r="A18" s="3350" t="str">
        <f>IF(项目基本情况!D4="抵押",结果表!L106,"——")</f>
        <v>本次评估不存在估价师所知悉的法定优先受偿款。</v>
      </c>
      <c r="B18" s="3350"/>
      <c r="C18" s="3350"/>
      <c r="D18" s="3350"/>
    </row>
    <row r="19" spans="1:4" ht="46.5" customHeight="1">
      <c r="A19" s="335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0"/>
      <c r="C19" s="3350"/>
      <c r="D19" s="3350"/>
    </row>
    <row r="20" spans="1:4" ht="15">
      <c r="A20" s="3351" t="s">
        <v>2681</v>
      </c>
      <c r="B20" s="3351"/>
      <c r="C20" s="3351"/>
      <c r="D20" s="3351"/>
    </row>
    <row r="21" spans="1:4">
      <c r="A21" s="1367"/>
      <c r="B21" s="980"/>
      <c r="C21" s="980"/>
      <c r="D21" s="980"/>
    </row>
    <row r="22" spans="1:4">
      <c r="A22" s="1367"/>
      <c r="B22" s="980"/>
      <c r="C22" s="980"/>
      <c r="D22" s="980"/>
    </row>
    <row r="23" spans="1:4" ht="18.75">
      <c r="A23" s="1328" t="s">
        <v>1223</v>
      </c>
    </row>
    <row r="24" spans="1:4" ht="18">
      <c r="A24" s="1328"/>
    </row>
    <row r="25" spans="1:4" ht="18.75">
      <c r="A25" s="1328" t="s">
        <v>1224</v>
      </c>
    </row>
    <row r="28" spans="1:4" ht="21" customHeight="1">
      <c r="D28" s="1368" t="s">
        <v>1225</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1295</v>
      </c>
    </row>
    <row r="3" spans="1:7" ht="14.25">
      <c r="A3" s="1374" t="s">
        <v>1296</v>
      </c>
      <c r="B3" s="605" t="s">
        <v>1297</v>
      </c>
      <c r="G3" s="1375"/>
    </row>
    <row r="4" spans="1:7">
      <c r="G4" s="1375"/>
    </row>
    <row r="5" spans="1:7" ht="14.25">
      <c r="A5" s="1377" t="s">
        <v>1298</v>
      </c>
      <c r="B5" s="605" t="s">
        <v>1299</v>
      </c>
      <c r="G5" s="1375"/>
    </row>
    <row r="6" spans="1:7">
      <c r="G6" s="1375"/>
    </row>
    <row r="7" spans="1:7" ht="14.25">
      <c r="A7" s="1378" t="s">
        <v>1300</v>
      </c>
      <c r="B7" s="605" t="s">
        <v>1301</v>
      </c>
      <c r="G7" s="1375"/>
    </row>
    <row r="8" spans="1:7">
      <c r="G8" s="1375"/>
    </row>
    <row r="9" spans="1:7">
      <c r="A9" s="1379" t="s">
        <v>1302</v>
      </c>
      <c r="B9" s="605" t="s">
        <v>1303</v>
      </c>
    </row>
    <row r="11" spans="1:7">
      <c r="A11" s="1380" t="s">
        <v>1304</v>
      </c>
      <c r="B11" s="1381" t="s">
        <v>1305</v>
      </c>
    </row>
    <row r="13" spans="1:7">
      <c r="A13" s="1161" t="s">
        <v>1306</v>
      </c>
    </row>
    <row r="15" spans="1:7" ht="14.25">
      <c r="A15" s="3360" t="s">
        <v>1307</v>
      </c>
      <c r="B15" s="3355" t="s">
        <v>1308</v>
      </c>
      <c r="C15" s="3356"/>
    </row>
    <row r="16" spans="1:7" ht="14.25">
      <c r="A16" s="3361"/>
      <c r="B16" s="3355" t="s">
        <v>1309</v>
      </c>
      <c r="C16" s="3356"/>
    </row>
    <row r="17" spans="1:3" ht="14.25">
      <c r="A17" s="3361"/>
      <c r="B17" s="3355" t="s">
        <v>1310</v>
      </c>
      <c r="C17" s="3356"/>
    </row>
    <row r="18" spans="1:3" ht="14.25">
      <c r="A18" s="3362"/>
      <c r="B18" s="3357" t="s">
        <v>1311</v>
      </c>
      <c r="C18" s="3356"/>
    </row>
    <row r="19" spans="1:3" ht="14.25">
      <c r="A19" s="1382" t="s">
        <v>1312</v>
      </c>
      <c r="B19" s="1383"/>
      <c r="C19" s="1384"/>
    </row>
    <row r="20" spans="1:3" ht="14.25">
      <c r="A20" s="3358" t="s">
        <v>1313</v>
      </c>
      <c r="B20" s="3357" t="s">
        <v>1314</v>
      </c>
      <c r="C20" s="3356"/>
    </row>
    <row r="21" spans="1:3" ht="14.25">
      <c r="A21" s="3358"/>
      <c r="B21" s="3357" t="s">
        <v>1315</v>
      </c>
      <c r="C21" s="3356"/>
    </row>
    <row r="22" spans="1:3" ht="14.25">
      <c r="A22" s="3358"/>
      <c r="B22" s="3357" t="s">
        <v>1316</v>
      </c>
      <c r="C22" s="3356"/>
    </row>
    <row r="23" spans="1:3" ht="14.25">
      <c r="A23" s="3358"/>
      <c r="B23" s="3359" t="s">
        <v>1317</v>
      </c>
      <c r="C23" s="1385" t="s">
        <v>1318</v>
      </c>
    </row>
    <row r="24" spans="1:3" ht="14.25">
      <c r="A24" s="3358"/>
      <c r="B24" s="3359"/>
      <c r="C24" s="1385" t="s">
        <v>1319</v>
      </c>
    </row>
    <row r="25" spans="1:3" ht="14.25">
      <c r="A25" s="3358"/>
      <c r="B25" s="3359"/>
      <c r="C25" s="1385" t="s">
        <v>1320</v>
      </c>
    </row>
    <row r="26" spans="1:3" ht="14.25">
      <c r="A26" s="3358"/>
      <c r="B26" s="3359"/>
      <c r="C26" s="1385" t="s">
        <v>1321</v>
      </c>
    </row>
    <row r="27" spans="1:3" ht="14.25">
      <c r="A27" s="3358"/>
      <c r="B27" s="3359"/>
      <c r="C27" s="1385" t="s">
        <v>1322</v>
      </c>
    </row>
    <row r="28" spans="1:3" ht="14.25">
      <c r="A28" s="3358"/>
      <c r="B28" s="3359"/>
      <c r="C28" s="1385" t="s">
        <v>1323</v>
      </c>
    </row>
    <row r="29" spans="1:3" ht="14.25">
      <c r="A29" s="3358"/>
      <c r="B29" s="3359"/>
      <c r="C29" s="1385" t="s">
        <v>1324</v>
      </c>
    </row>
    <row r="30" spans="1:3" ht="14.25">
      <c r="A30" s="3358"/>
      <c r="B30" s="3359"/>
      <c r="C30" s="1385" t="s">
        <v>1325</v>
      </c>
    </row>
    <row r="31" spans="1:3" ht="14.25">
      <c r="A31" s="3358"/>
      <c r="B31" s="3359"/>
      <c r="C31" s="1385" t="s">
        <v>1326</v>
      </c>
    </row>
    <row r="32" spans="1:3">
      <c r="A32" s="1386"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44553</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f ca="1">IF(C9&lt;B2,"已过期",1120060040)</f>
        <v>1120060040</v>
      </c>
      <c r="C9" s="3043">
        <v>44554</v>
      </c>
      <c r="D9" s="3051" t="str">
        <f t="shared" ca="1" si="0"/>
        <v>陈颖（注册号：1120060040）</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2656</v>
      </c>
      <c r="B12" s="1272">
        <f ca="1">IF(C12&lt;B2,"已过期",1120040230)</f>
        <v>1120040230</v>
      </c>
      <c r="C12" s="3043">
        <v>44864</v>
      </c>
      <c r="D12" s="3051" t="str">
        <f t="shared" ca="1" si="0"/>
        <v>苏海（注册号：1120040230）</v>
      </c>
      <c r="E12" s="3053" t="s">
        <v>2656</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2673</v>
      </c>
      <c r="B14" s="1272">
        <f ca="1">IF(C14&lt;B2,"已过期",1119980106)</f>
        <v>1119980106</v>
      </c>
      <c r="C14" s="3043">
        <v>44969</v>
      </c>
      <c r="D14" s="3051" t="str">
        <f t="shared" ca="1" si="0"/>
        <v>刘俊财（注册号：1119980106）</v>
      </c>
      <c r="E14" s="3053" t="s">
        <v>2773</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2777</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63" t="s">
        <v>762</v>
      </c>
      <c r="B17" s="3363"/>
      <c r="C17" s="3363"/>
      <c r="D17" s="3363"/>
      <c r="E17" s="3363"/>
      <c r="F17" s="3363"/>
      <c r="G17" s="3363"/>
      <c r="H17" s="3363"/>
    </row>
    <row r="18" spans="1:8" ht="24" customHeight="1">
      <c r="A18" s="3364" t="s">
        <v>763</v>
      </c>
      <c r="B18" s="3364"/>
      <c r="C18" s="3364"/>
      <c r="D18" s="3039"/>
      <c r="E18" s="3365" t="s">
        <v>764</v>
      </c>
      <c r="F18" s="3364"/>
      <c r="G18" s="3364"/>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2774</v>
      </c>
      <c r="B20" s="3046" t="s">
        <v>2775</v>
      </c>
      <c r="C20" s="3041">
        <v>44820</v>
      </c>
      <c r="D20" s="3054"/>
      <c r="E20" s="3056" t="s">
        <v>768</v>
      </c>
      <c r="F20" s="3046" t="s">
        <v>769</v>
      </c>
      <c r="G20" s="3047">
        <v>44377</v>
      </c>
    </row>
    <row r="21" spans="1:8" s="3029" customFormat="1" ht="24" customHeight="1">
      <c r="A21" s="3046"/>
      <c r="B21" s="3046"/>
      <c r="C21" s="3048"/>
      <c r="D21" s="3055"/>
      <c r="E21" s="3056" t="s">
        <v>770</v>
      </c>
      <c r="F21" s="3049" t="s">
        <v>2672</v>
      </c>
      <c r="G21" s="3050">
        <v>44012</v>
      </c>
    </row>
    <row r="22" spans="1:8" ht="24" customHeight="1">
      <c r="C22" s="3032"/>
      <c r="D22" s="3032"/>
      <c r="E22" s="3057"/>
      <c r="F22" s="3058"/>
      <c r="G22" s="3059"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1328</v>
      </c>
      <c r="B1" s="4" t="s">
        <v>1329</v>
      </c>
      <c r="C1" s="1388" t="s">
        <v>1330</v>
      </c>
      <c r="D1" s="5" t="s">
        <v>1331</v>
      </c>
      <c r="E1" s="5" t="s">
        <v>1332</v>
      </c>
      <c r="F1" s="5" t="s">
        <v>1333</v>
      </c>
      <c r="G1" s="5" t="s">
        <v>1334</v>
      </c>
      <c r="H1" s="5" t="s">
        <v>1335</v>
      </c>
      <c r="I1" s="5" t="s">
        <v>1336</v>
      </c>
      <c r="J1" s="5" t="s">
        <v>1337</v>
      </c>
      <c r="K1" s="5" t="s">
        <v>1338</v>
      </c>
      <c r="L1" s="5" t="s">
        <v>1339</v>
      </c>
      <c r="M1" s="5" t="s">
        <v>1340</v>
      </c>
      <c r="N1" s="5" t="s">
        <v>1341</v>
      </c>
      <c r="O1" s="5" t="s">
        <v>1342</v>
      </c>
      <c r="P1" s="1389" t="s">
        <v>1343</v>
      </c>
      <c r="Q1" s="1389" t="s">
        <v>1344</v>
      </c>
      <c r="R1" s="1389" t="s">
        <v>1345</v>
      </c>
      <c r="S1" s="5" t="s">
        <v>1346</v>
      </c>
      <c r="T1" s="6" t="s">
        <v>1347</v>
      </c>
      <c r="U1" s="5" t="s">
        <v>1348</v>
      </c>
      <c r="V1" s="5" t="s">
        <v>1349</v>
      </c>
      <c r="W1" s="5" t="s">
        <v>1350</v>
      </c>
      <c r="X1" s="5" t="s">
        <v>1351</v>
      </c>
      <c r="Y1" s="5" t="s">
        <v>1352</v>
      </c>
    </row>
    <row r="2" spans="1:25">
      <c r="A2" s="1390" t="s">
        <v>33</v>
      </c>
      <c r="B2" s="1390" t="s">
        <v>1353</v>
      </c>
      <c r="C2" s="1391"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90" t="s">
        <v>1366</v>
      </c>
      <c r="B3" s="1392"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90" t="s">
        <v>1379</v>
      </c>
      <c r="B4" s="1392" t="s">
        <v>1380</v>
      </c>
      <c r="C4" s="1391"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90" t="s">
        <v>1390</v>
      </c>
      <c r="B5" s="1390" t="s">
        <v>1391</v>
      </c>
      <c r="C5" s="1391"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3"/>
    </row>
    <row r="6" spans="1:25">
      <c r="A6" s="1390" t="s">
        <v>1399</v>
      </c>
      <c r="B6" s="1390"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3"/>
    </row>
    <row r="7" spans="1:25">
      <c r="A7" s="1390" t="s">
        <v>1407</v>
      </c>
      <c r="B7" s="1392" t="s">
        <v>1408</v>
      </c>
      <c r="C7" s="1391" t="s">
        <v>1409</v>
      </c>
      <c r="F7" s="7" t="s">
        <v>1410</v>
      </c>
      <c r="H7" s="7" t="s">
        <v>1411</v>
      </c>
      <c r="I7" s="7" t="s">
        <v>1412</v>
      </c>
      <c r="X7" s="1393"/>
    </row>
    <row r="8" spans="1:25">
      <c r="A8" s="1390" t="s">
        <v>1413</v>
      </c>
      <c r="B8" s="1392" t="s">
        <v>1414</v>
      </c>
      <c r="C8" s="1391" t="s">
        <v>1415</v>
      </c>
      <c r="F8" s="7" t="s">
        <v>1416</v>
      </c>
      <c r="H8" s="7" t="s">
        <v>1417</v>
      </c>
      <c r="I8" s="7" t="s">
        <v>1418</v>
      </c>
      <c r="X8" s="1393"/>
    </row>
    <row r="9" spans="1:25">
      <c r="A9" s="1390" t="s">
        <v>1419</v>
      </c>
      <c r="B9" s="1390" t="s">
        <v>1420</v>
      </c>
      <c r="C9" s="1391" t="s">
        <v>1421</v>
      </c>
      <c r="F9" s="7" t="s">
        <v>1422</v>
      </c>
      <c r="H9" s="7" t="s">
        <v>1423</v>
      </c>
    </row>
    <row r="10" spans="1:25">
      <c r="A10" s="1390" t="s">
        <v>1424</v>
      </c>
      <c r="B10" s="1390" t="s">
        <v>1425</v>
      </c>
      <c r="C10" s="1391" t="s">
        <v>1426</v>
      </c>
      <c r="F10" s="7" t="s">
        <v>13</v>
      </c>
    </row>
    <row r="11" spans="1:25">
      <c r="A11" s="1390" t="s">
        <v>1427</v>
      </c>
      <c r="B11" s="1390" t="s">
        <v>1428</v>
      </c>
      <c r="C11" s="1391" t="s">
        <v>1429</v>
      </c>
    </row>
    <row r="12" spans="1:25">
      <c r="A12" s="1390" t="s">
        <v>1430</v>
      </c>
      <c r="B12" s="1390" t="s">
        <v>1431</v>
      </c>
      <c r="C12" s="1391" t="s">
        <v>1432</v>
      </c>
    </row>
    <row r="13" spans="1:25">
      <c r="A13" s="1390" t="s">
        <v>1433</v>
      </c>
      <c r="B13" s="1390" t="s">
        <v>1434</v>
      </c>
      <c r="C13" s="1391" t="s">
        <v>1435</v>
      </c>
    </row>
    <row r="14" spans="1:25">
      <c r="A14" s="1390" t="s">
        <v>1436</v>
      </c>
      <c r="B14" s="1390" t="s">
        <v>1437</v>
      </c>
      <c r="C14" s="1391"/>
    </row>
    <row r="15" spans="1:25">
      <c r="A15" s="1390" t="s">
        <v>1438</v>
      </c>
      <c r="B15" s="1390" t="s">
        <v>1439</v>
      </c>
      <c r="C15" s="1391"/>
    </row>
    <row r="16" spans="1:25">
      <c r="A16" s="1390" t="s">
        <v>1440</v>
      </c>
      <c r="B16" s="1390" t="s">
        <v>1441</v>
      </c>
      <c r="C16" s="1391"/>
    </row>
    <row r="17" spans="1:3">
      <c r="A17" s="1390" t="s">
        <v>1442</v>
      </c>
      <c r="B17" s="1390" t="s">
        <v>1443</v>
      </c>
      <c r="C17" s="1391"/>
    </row>
    <row r="18" spans="1:3">
      <c r="A18" s="1390" t="s">
        <v>1444</v>
      </c>
      <c r="B18" s="1390" t="s">
        <v>1445</v>
      </c>
      <c r="C18" s="1391"/>
    </row>
    <row r="19" spans="1:3">
      <c r="A19" s="1390" t="s">
        <v>1446</v>
      </c>
      <c r="B19" s="1390" t="s">
        <v>1447</v>
      </c>
      <c r="C19" s="1391"/>
    </row>
    <row r="20" spans="1:3">
      <c r="A20" s="1390" t="s">
        <v>1448</v>
      </c>
      <c r="B20" s="1390" t="s">
        <v>2976</v>
      </c>
      <c r="C20" s="1391"/>
    </row>
    <row r="21" spans="1:3">
      <c r="A21" s="1390" t="s">
        <v>1449</v>
      </c>
      <c r="B21" s="1390" t="s">
        <v>740</v>
      </c>
      <c r="C21" s="1391"/>
    </row>
    <row r="22" spans="1:3">
      <c r="A22" s="1390" t="s">
        <v>1450</v>
      </c>
      <c r="B22" s="1390" t="s">
        <v>740</v>
      </c>
      <c r="C22" s="1391"/>
    </row>
    <row r="23" spans="1:3">
      <c r="A23" s="1390" t="s">
        <v>1451</v>
      </c>
      <c r="B23" s="1390" t="s">
        <v>740</v>
      </c>
      <c r="C23" s="1391"/>
    </row>
    <row r="24" spans="1:3">
      <c r="A24" s="1390" t="s">
        <v>1452</v>
      </c>
      <c r="B24" s="1390" t="s">
        <v>740</v>
      </c>
      <c r="C24" s="1391"/>
    </row>
    <row r="25" spans="1:3">
      <c r="A25" s="1390" t="s">
        <v>1453</v>
      </c>
      <c r="B25" s="1390" t="s">
        <v>740</v>
      </c>
      <c r="C25" s="1391"/>
    </row>
    <row r="26" spans="1:3">
      <c r="A26" s="1390" t="s">
        <v>1454</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4" t="s">
        <v>1457</v>
      </c>
      <c r="B52" s="1394" t="s">
        <v>1458</v>
      </c>
      <c r="C52" s="9" t="s">
        <v>1459</v>
      </c>
      <c r="D52" s="9" t="s">
        <v>1460</v>
      </c>
    </row>
    <row r="53" spans="1:4" ht="14.25" customHeight="1">
      <c r="A53" s="3366"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本次估价的“房地产价值”是指在正常市场情况下，在价值时点2021年12月23日，估价对象规划用途为，假定未设立法定优先受偿款下的房地产市场价值。</v>
      </c>
    </row>
    <row r="54" spans="1:4">
      <c r="A54" s="3366"/>
      <c r="B54" s="9" t="s">
        <v>1463</v>
      </c>
      <c r="C54" s="9" t="s">
        <v>1464</v>
      </c>
    </row>
    <row r="55" spans="1:4">
      <c r="A55" s="3366"/>
      <c r="B55" s="9" t="s">
        <v>1465</v>
      </c>
      <c r="C55" s="9" t="s">
        <v>1466</v>
      </c>
    </row>
    <row r="56" spans="1:4">
      <c r="A56" s="3366"/>
      <c r="B56" s="9" t="s">
        <v>1467</v>
      </c>
      <c r="C56" s="9" t="s">
        <v>1468</v>
      </c>
    </row>
    <row r="57" spans="1:4">
      <c r="A57" s="3366"/>
      <c r="B57" s="9" t="s">
        <v>1469</v>
      </c>
      <c r="C57" s="9" t="s">
        <v>1470</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I16" sqref="I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1471</v>
      </c>
      <c r="B1" s="2561" t="str">
        <f>IF(B6="北京市","北京市",C6)&amp;IF(E12="房屋所有权证",B29,E29)&amp;D5&amp;"预评估"</f>
        <v>北京市房地产抵押价值预评估</v>
      </c>
      <c r="C1" s="823"/>
      <c r="D1" s="823"/>
      <c r="E1" s="823"/>
      <c r="F1" s="1396" t="s">
        <v>1472</v>
      </c>
      <c r="G1" s="1162"/>
      <c r="I1" s="2889" t="str">
        <f>IF(B6="北京市","北京市",C6)&amp;IF(E12="房屋所有权证",B29,E29)&amp;"房地产"</f>
        <v>北京市房地产</v>
      </c>
      <c r="J1" s="800"/>
      <c r="K1" s="2891"/>
      <c r="L1" s="2891"/>
      <c r="M1" s="2891"/>
      <c r="N1" s="800"/>
      <c r="O1" s="800"/>
      <c r="P1" s="800"/>
      <c r="Q1" s="800"/>
    </row>
    <row r="2" spans="1:17" ht="13.5" thickTop="1">
      <c r="A2" s="1397" t="s">
        <v>1473</v>
      </c>
      <c r="B2" s="2562">
        <v>44553</v>
      </c>
      <c r="C2" s="2861" t="s">
        <v>1474</v>
      </c>
      <c r="D2" s="2562">
        <f>B2</f>
        <v>44553</v>
      </c>
      <c r="E2" s="824"/>
      <c r="F2" s="824"/>
      <c r="G2" s="1163"/>
      <c r="H2" s="2873"/>
    </row>
    <row r="3" spans="1:17" ht="13.5" thickBot="1">
      <c r="A3" s="2563" t="s">
        <v>1475</v>
      </c>
      <c r="B3" s="2564"/>
      <c r="C3" s="2565">
        <f>SUMIF(注册房地产估价师,B3,估价师及机构信息!B3:B16)</f>
        <v>0</v>
      </c>
      <c r="D3" s="2564"/>
      <c r="E3" s="2566">
        <f>SUMIF(注册房地产估价师,D3,估价师及机构信息!B3:B16)</f>
        <v>0</v>
      </c>
      <c r="F3" s="825"/>
      <c r="G3" s="1164"/>
      <c r="H3" s="2873"/>
    </row>
    <row r="4" spans="1:17" ht="13.5" customHeight="1" thickTop="1">
      <c r="A4" s="1397" t="s">
        <v>1476</v>
      </c>
      <c r="B4" s="1398" t="s">
        <v>2662</v>
      </c>
      <c r="C4" s="2862" t="s">
        <v>1477</v>
      </c>
      <c r="D4" s="1399" t="s">
        <v>2983</v>
      </c>
      <c r="E4" s="824"/>
      <c r="F4" s="824"/>
      <c r="G4" s="1163"/>
    </row>
    <row r="5" spans="1:17">
      <c r="A5" s="1400" t="s">
        <v>1478</v>
      </c>
      <c r="B5" s="1401" t="s">
        <v>2663</v>
      </c>
      <c r="C5" s="2863" t="s">
        <v>1479</v>
      </c>
      <c r="D5" s="1403" t="s">
        <v>2984</v>
      </c>
      <c r="E5" s="2864" t="s">
        <v>1480</v>
      </c>
      <c r="F5" s="1403"/>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1481</v>
      </c>
      <c r="B6" s="2567" t="s">
        <v>2981</v>
      </c>
      <c r="C6" s="2568" t="s">
        <v>2664</v>
      </c>
      <c r="D6" s="2569" t="s">
        <v>1482</v>
      </c>
      <c r="E6" s="811"/>
      <c r="F6" s="811"/>
      <c r="G6" s="830"/>
      <c r="I6" s="800" t="str">
        <f>IF(COUNTIF(B5,"*上海银行*"),"上海银行","")</f>
        <v/>
      </c>
      <c r="J6" s="800"/>
      <c r="K6" s="2891"/>
      <c r="L6" s="2891"/>
      <c r="M6" s="2891"/>
      <c r="N6" s="800"/>
      <c r="O6" s="800"/>
      <c r="P6" s="800"/>
      <c r="Q6" s="800"/>
    </row>
    <row r="7" spans="1:17" ht="13.5" thickBot="1">
      <c r="A7" s="2866" t="s">
        <v>1483</v>
      </c>
      <c r="B7" s="2570" t="s">
        <v>2982</v>
      </c>
      <c r="C7" s="1495" t="str">
        <f>IF(B7="自然人","姓名","名称")</f>
        <v>姓名</v>
      </c>
      <c r="D7" s="1408" t="s">
        <v>2663</v>
      </c>
      <c r="E7" s="825"/>
      <c r="F7" s="825"/>
      <c r="G7" s="1164"/>
    </row>
    <row r="8" spans="1:17" ht="13.5" thickTop="1">
      <c r="A8" s="3367" t="s">
        <v>1484</v>
      </c>
      <c r="B8" s="1409" t="s">
        <v>1485</v>
      </c>
      <c r="C8" s="3380"/>
      <c r="D8" s="3381"/>
      <c r="E8" s="2571" t="s">
        <v>1486</v>
      </c>
      <c r="F8" s="2572" t="s">
        <v>1487</v>
      </c>
      <c r="G8" s="2573" t="str">
        <f>C6</f>
        <v>XX</v>
      </c>
    </row>
    <row r="9" spans="1:17">
      <c r="A9" s="3367"/>
      <c r="B9" s="259" t="s">
        <v>1488</v>
      </c>
      <c r="C9" s="1401"/>
      <c r="D9" s="1410"/>
      <c r="E9" s="2867" t="s">
        <v>1489</v>
      </c>
      <c r="F9" s="2574" t="s">
        <v>70</v>
      </c>
      <c r="G9" s="2575"/>
    </row>
    <row r="10" spans="1:17" ht="13.5" thickBot="1">
      <c r="A10" s="3367"/>
      <c r="B10" s="259" t="s">
        <v>1490</v>
      </c>
      <c r="C10" s="3382"/>
      <c r="D10" s="3383"/>
      <c r="E10" s="2868" t="s">
        <v>1491</v>
      </c>
      <c r="F10" s="2576" t="s">
        <v>334</v>
      </c>
      <c r="G10" s="2577"/>
    </row>
    <row r="11" spans="1:17" ht="13.5" thickBot="1">
      <c r="A11" s="3367"/>
      <c r="B11" s="1412" t="s">
        <v>1492</v>
      </c>
      <c r="C11" s="3384"/>
      <c r="D11" s="3385"/>
      <c r="E11" s="811"/>
      <c r="F11" s="811"/>
      <c r="G11" s="830"/>
    </row>
    <row r="12" spans="1:17" ht="13.5" thickBot="1">
      <c r="A12" s="3371" t="s">
        <v>2771</v>
      </c>
      <c r="B12" s="2869" t="s">
        <v>1493</v>
      </c>
      <c r="C12" s="808">
        <f>63+71.43</f>
        <v>134.43</v>
      </c>
      <c r="D12" s="1413" t="s">
        <v>1494</v>
      </c>
      <c r="E12" s="1414"/>
      <c r="F12" s="1415"/>
      <c r="G12" s="830"/>
    </row>
    <row r="13" spans="1:17" ht="21" customHeight="1" thickBot="1">
      <c r="A13" s="3372"/>
      <c r="B13" s="2870" t="s">
        <v>1495</v>
      </c>
      <c r="C13" s="809"/>
      <c r="D13" s="1416" t="s">
        <v>1496</v>
      </c>
      <c r="E13" s="1417"/>
      <c r="F13" s="811"/>
      <c r="G13" s="830"/>
      <c r="I13" s="3390" t="s">
        <v>1497</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2772</v>
      </c>
      <c r="C14" s="2579"/>
      <c r="D14" s="811"/>
      <c r="E14" s="811"/>
      <c r="F14" s="811"/>
      <c r="G14" s="830"/>
      <c r="I14" s="3390"/>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1498</v>
      </c>
      <c r="C15" s="826">
        <v>2.5</v>
      </c>
      <c r="D15" s="825"/>
      <c r="E15" s="825"/>
      <c r="F15" s="825"/>
      <c r="G15" s="1164"/>
      <c r="I15" s="3390"/>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1499</v>
      </c>
      <c r="B16" s="1418" t="s">
        <v>1500</v>
      </c>
      <c r="C16" s="2581"/>
      <c r="D16" s="1411" t="s">
        <v>1501</v>
      </c>
      <c r="E16" s="2582"/>
      <c r="F16" s="1419" t="str">
        <f>IF(AND(C16="是",E16="否"),"是否提供他项权证或相关说明","")</f>
        <v/>
      </c>
      <c r="G16" s="2582"/>
      <c r="J16" s="2873"/>
    </row>
    <row r="17" spans="1:66" ht="13.5" customHeight="1">
      <c r="A17" s="1425" t="s">
        <v>1502</v>
      </c>
      <c r="B17" s="3386" t="s">
        <v>1503</v>
      </c>
      <c r="C17" s="3387"/>
      <c r="D17" s="3388" t="s">
        <v>1504</v>
      </c>
      <c r="E17" s="3389"/>
      <c r="F17" s="1420" t="s">
        <v>1505</v>
      </c>
      <c r="G17" s="1421"/>
      <c r="J17" s="2873"/>
    </row>
    <row r="18" spans="1:66" ht="24">
      <c r="A18" s="1425"/>
      <c r="B18" s="2583"/>
      <c r="C18" s="1404"/>
      <c r="D18" s="1422" t="s">
        <v>1506</v>
      </c>
      <c r="E18" s="1423"/>
      <c r="F18" s="1424"/>
      <c r="G18" s="1287"/>
      <c r="H18" s="2873"/>
      <c r="J18" s="2873"/>
    </row>
    <row r="19" spans="1:66" ht="21.75" customHeight="1" thickBot="1">
      <c r="A19" s="1425"/>
      <c r="B19" s="2584"/>
      <c r="C19" s="1417"/>
      <c r="D19" s="1425"/>
      <c r="E19" s="811"/>
      <c r="F19" s="811"/>
      <c r="G19" s="1287"/>
    </row>
    <row r="20" spans="1:66">
      <c r="A20" s="1421" t="s">
        <v>1507</v>
      </c>
      <c r="B20" s="2585" t="s">
        <v>1508</v>
      </c>
      <c r="C20" s="2586"/>
      <c r="D20" s="2587" t="s">
        <v>1508</v>
      </c>
      <c r="E20" s="2586"/>
      <c r="F20" s="811"/>
      <c r="G20" s="1287"/>
    </row>
    <row r="21" spans="1:66">
      <c r="A21" s="1287"/>
      <c r="B21" s="2588" t="s">
        <v>1509</v>
      </c>
      <c r="C21" s="2856"/>
      <c r="D21" s="1425" t="s">
        <v>1509</v>
      </c>
      <c r="E21" s="2589"/>
      <c r="F21" s="811"/>
      <c r="G21" s="1287"/>
    </row>
    <row r="22" spans="1:66">
      <c r="A22" s="1287"/>
      <c r="B22" s="811" t="s">
        <v>1510</v>
      </c>
      <c r="C22" s="2590"/>
      <c r="D22" s="811" t="s">
        <v>1510</v>
      </c>
      <c r="E22" s="2589"/>
      <c r="F22" s="811"/>
      <c r="G22" s="1287"/>
    </row>
    <row r="23" spans="1:66" s="2855" customFormat="1" ht="16.5" thickBot="1">
      <c r="A23" s="1288"/>
      <c r="B23" s="829" t="s">
        <v>1511</v>
      </c>
      <c r="C23" s="809"/>
      <c r="D23" s="829" t="s">
        <v>1512</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399" t="s">
        <v>2770</v>
      </c>
      <c r="B24" s="3399"/>
      <c r="C24" s="3399"/>
      <c r="D24" s="3399"/>
      <c r="E24" s="3399"/>
      <c r="F24" s="3399"/>
      <c r="G24" s="3399"/>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1513</v>
      </c>
      <c r="B25" s="811"/>
      <c r="C25" s="811"/>
      <c r="D25" s="811"/>
      <c r="E25" s="811"/>
      <c r="F25" s="811"/>
      <c r="G25" s="1288"/>
      <c r="K25" s="2874"/>
    </row>
    <row r="26" spans="1:66" s="836" customFormat="1" ht="13.5" thickBot="1">
      <c r="A26" s="2592"/>
      <c r="B26" s="807" t="s">
        <v>1514</v>
      </c>
      <c r="C26" s="2592"/>
      <c r="D26" s="807"/>
      <c r="E26" s="2593" t="s">
        <v>1515</v>
      </c>
      <c r="F26" s="2592"/>
      <c r="G26" s="2594" t="s">
        <v>1516</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1517</v>
      </c>
      <c r="B28" s="801"/>
      <c r="C28" s="3374" t="s">
        <v>1517</v>
      </c>
      <c r="D28" s="3375"/>
      <c r="E28" s="801"/>
      <c r="F28" s="803" t="s">
        <v>1517</v>
      </c>
      <c r="G28" s="801"/>
      <c r="K28" s="2874"/>
    </row>
    <row r="29" spans="1:66">
      <c r="A29" s="804" t="s">
        <v>1518</v>
      </c>
      <c r="B29" s="798"/>
      <c r="C29" s="3376" t="s">
        <v>1519</v>
      </c>
      <c r="D29" s="3377"/>
      <c r="E29" s="798"/>
      <c r="F29" s="804" t="s">
        <v>1519</v>
      </c>
      <c r="G29" s="798"/>
      <c r="K29" s="2874"/>
    </row>
    <row r="30" spans="1:66">
      <c r="A30" s="804" t="s">
        <v>1520</v>
      </c>
      <c r="B30" s="798"/>
      <c r="C30" s="3376" t="s">
        <v>1520</v>
      </c>
      <c r="D30" s="3377"/>
      <c r="E30" s="798"/>
      <c r="F30" s="804" t="s">
        <v>1521</v>
      </c>
      <c r="G30" s="798"/>
      <c r="K30" s="2874"/>
    </row>
    <row r="31" spans="1:66">
      <c r="A31" s="804" t="s">
        <v>1522</v>
      </c>
      <c r="B31" s="798"/>
      <c r="C31" s="3396" t="s">
        <v>1523</v>
      </c>
      <c r="D31" s="811"/>
      <c r="E31" s="2597" t="str">
        <f>E32&amp;" "&amp;E33&amp;" "&amp;E34&amp;" "&amp;E35</f>
        <v xml:space="preserve">   </v>
      </c>
      <c r="F31" s="804" t="s">
        <v>1524</v>
      </c>
      <c r="G31" s="798"/>
    </row>
    <row r="32" spans="1:66">
      <c r="A32" s="804" t="s">
        <v>1525</v>
      </c>
      <c r="B32" s="798"/>
      <c r="C32" s="3397"/>
      <c r="D32" s="259" t="s">
        <v>1526</v>
      </c>
      <c r="E32" s="798"/>
      <c r="F32" s="804" t="s">
        <v>1527</v>
      </c>
      <c r="G32" s="798"/>
    </row>
    <row r="33" spans="1:7" ht="24.75" thickBot="1">
      <c r="A33" s="805" t="s">
        <v>1528</v>
      </c>
      <c r="B33" s="802"/>
      <c r="C33" s="3397"/>
      <c r="D33" s="259" t="s">
        <v>1529</v>
      </c>
      <c r="E33" s="798"/>
      <c r="F33" s="804" t="s">
        <v>1530</v>
      </c>
      <c r="G33" s="798"/>
    </row>
    <row r="34" spans="1:7">
      <c r="A34" s="803" t="s">
        <v>1531</v>
      </c>
      <c r="B34" s="801"/>
      <c r="C34" s="3397"/>
      <c r="D34" s="259" t="s">
        <v>1532</v>
      </c>
      <c r="E34" s="798"/>
      <c r="F34" s="804" t="s">
        <v>1533</v>
      </c>
      <c r="G34" s="798"/>
    </row>
    <row r="35" spans="1:7" ht="13.5" thickBot="1">
      <c r="A35" s="804" t="s">
        <v>1534</v>
      </c>
      <c r="B35" s="798"/>
      <c r="C35" s="3398"/>
      <c r="D35" s="259" t="s">
        <v>1535</v>
      </c>
      <c r="E35" s="798"/>
      <c r="F35" s="805" t="s">
        <v>1536</v>
      </c>
      <c r="G35" s="2598"/>
    </row>
    <row r="36" spans="1:7">
      <c r="A36" s="804" t="s">
        <v>1493</v>
      </c>
      <c r="B36" s="798"/>
      <c r="C36" s="3376" t="s">
        <v>1537</v>
      </c>
      <c r="D36" s="3377"/>
      <c r="E36" s="798"/>
      <c r="F36" s="2599" t="s">
        <v>1538</v>
      </c>
      <c r="G36" s="801"/>
    </row>
    <row r="37" spans="1:7" ht="13.5" thickBot="1">
      <c r="A37" s="804" t="s">
        <v>1539</v>
      </c>
      <c r="B37" s="798"/>
      <c r="C37" s="3378" t="s">
        <v>1540</v>
      </c>
      <c r="D37" s="3379"/>
      <c r="E37" s="802"/>
      <c r="F37" s="1433" t="s">
        <v>1541</v>
      </c>
      <c r="G37" s="798"/>
    </row>
    <row r="38" spans="1:7" ht="13.5" thickBot="1">
      <c r="A38" s="804" t="s">
        <v>1542</v>
      </c>
      <c r="B38" s="798"/>
      <c r="C38" s="3368" t="s">
        <v>1543</v>
      </c>
      <c r="D38" s="1413" t="s">
        <v>1527</v>
      </c>
      <c r="E38" s="801"/>
      <c r="F38" s="805" t="s">
        <v>1544</v>
      </c>
      <c r="G38" s="802"/>
    </row>
    <row r="39" spans="1:7">
      <c r="A39" s="804" t="s">
        <v>1545</v>
      </c>
      <c r="B39" s="798"/>
      <c r="C39" s="3369"/>
      <c r="D39" s="259" t="s">
        <v>1534</v>
      </c>
      <c r="E39" s="798"/>
      <c r="F39" s="803" t="s">
        <v>1546</v>
      </c>
      <c r="G39" s="801"/>
    </row>
    <row r="40" spans="1:7">
      <c r="A40" s="804" t="s">
        <v>1547</v>
      </c>
      <c r="B40" s="798"/>
      <c r="C40" s="3369" t="s">
        <v>1548</v>
      </c>
      <c r="D40" s="259" t="s">
        <v>1493</v>
      </c>
      <c r="E40" s="798"/>
      <c r="F40" s="804" t="s">
        <v>1549</v>
      </c>
      <c r="G40" s="798"/>
    </row>
    <row r="41" spans="1:7" ht="24.75" customHeight="1" thickBot="1">
      <c r="A41" s="805" t="s">
        <v>1550</v>
      </c>
      <c r="B41" s="802"/>
      <c r="C41" s="3370"/>
      <c r="D41" s="1416" t="s">
        <v>1495</v>
      </c>
      <c r="E41" s="802"/>
      <c r="F41" s="805" t="s">
        <v>1551</v>
      </c>
      <c r="G41" s="802"/>
    </row>
    <row r="42" spans="1:7">
      <c r="A42" s="806" t="s">
        <v>1552</v>
      </c>
      <c r="B42" s="2600"/>
      <c r="C42" s="3391" t="s">
        <v>1552</v>
      </c>
      <c r="D42" s="3392"/>
      <c r="E42" s="2600"/>
      <c r="F42" s="803" t="s">
        <v>1553</v>
      </c>
      <c r="G42" s="2600"/>
    </row>
    <row r="43" spans="1:7">
      <c r="A43" s="821" t="s">
        <v>1554</v>
      </c>
      <c r="B43" s="2601"/>
      <c r="C43" s="1425"/>
      <c r="D43" s="2588"/>
      <c r="E43" s="2601"/>
      <c r="F43" s="821"/>
      <c r="G43" s="2601"/>
    </row>
    <row r="44" spans="1:7">
      <c r="A44" s="821" t="s">
        <v>1508</v>
      </c>
      <c r="B44" s="822"/>
      <c r="C44" s="1425"/>
      <c r="D44" s="1491" t="s">
        <v>1508</v>
      </c>
      <c r="E44" s="822"/>
      <c r="F44" s="821" t="s">
        <v>1508</v>
      </c>
      <c r="G44" s="822"/>
    </row>
    <row r="45" spans="1:7">
      <c r="A45" s="821" t="s">
        <v>1509</v>
      </c>
      <c r="B45" s="822"/>
      <c r="C45" s="1425"/>
      <c r="D45" s="2588" t="s">
        <v>1509</v>
      </c>
      <c r="E45" s="822"/>
      <c r="F45" s="821" t="s">
        <v>1509</v>
      </c>
      <c r="G45" s="822"/>
    </row>
    <row r="46" spans="1:7">
      <c r="A46" s="821" t="s">
        <v>1510</v>
      </c>
      <c r="B46" s="822"/>
      <c r="C46" s="1425"/>
      <c r="D46" s="2588" t="s">
        <v>1510</v>
      </c>
      <c r="E46" s="822"/>
      <c r="F46" s="821" t="s">
        <v>1510</v>
      </c>
      <c r="G46" s="822"/>
    </row>
    <row r="47" spans="1:7">
      <c r="A47" s="821" t="s">
        <v>1511</v>
      </c>
      <c r="B47" s="822"/>
      <c r="C47" s="1425"/>
      <c r="D47" s="2588" t="s">
        <v>1511</v>
      </c>
      <c r="E47" s="822"/>
      <c r="F47" s="821" t="s">
        <v>1511</v>
      </c>
      <c r="G47" s="822"/>
    </row>
    <row r="48" spans="1:7">
      <c r="A48" s="821"/>
      <c r="B48" s="822"/>
      <c r="C48" s="1425"/>
      <c r="D48" s="2588"/>
      <c r="E48" s="822"/>
      <c r="F48" s="821"/>
      <c r="G48" s="822"/>
    </row>
    <row r="49" spans="1:66" ht="13.5" thickBot="1">
      <c r="A49" s="805" t="s">
        <v>1555</v>
      </c>
      <c r="B49" s="802"/>
      <c r="C49" s="3393" t="s">
        <v>1555</v>
      </c>
      <c r="D49" s="3394"/>
      <c r="E49" s="820"/>
      <c r="F49" s="805" t="s">
        <v>1556</v>
      </c>
      <c r="G49" s="802"/>
    </row>
    <row r="50" spans="1:66">
      <c r="A50" s="804" t="s">
        <v>1557</v>
      </c>
      <c r="B50" s="819"/>
      <c r="C50" s="3368" t="s">
        <v>1558</v>
      </c>
      <c r="D50" s="3395"/>
      <c r="E50" s="2602"/>
      <c r="F50" s="837"/>
      <c r="G50" s="838"/>
    </row>
    <row r="51" spans="1:66" ht="13.5" thickBot="1">
      <c r="A51" s="804" t="s">
        <v>1559</v>
      </c>
      <c r="B51" s="819"/>
      <c r="C51" s="3370" t="s">
        <v>1560</v>
      </c>
      <c r="D51" s="3373"/>
      <c r="E51" s="802"/>
      <c r="F51" s="811"/>
      <c r="G51" s="830"/>
    </row>
    <row r="52" spans="1:66">
      <c r="A52" s="804" t="s">
        <v>1538</v>
      </c>
      <c r="B52" s="798"/>
      <c r="C52" s="811"/>
      <c r="D52" s="811"/>
      <c r="E52" s="811"/>
      <c r="F52" s="811"/>
      <c r="G52" s="830"/>
    </row>
    <row r="53" spans="1:66" ht="24.75" thickBot="1">
      <c r="A53" s="805" t="s">
        <v>1561</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0" t="s">
        <v>0</v>
      </c>
      <c r="B1" s="3400" t="s">
        <v>2</v>
      </c>
      <c r="C1" s="3400" t="s">
        <v>3</v>
      </c>
      <c r="D1" s="3401" t="s">
        <v>67</v>
      </c>
      <c r="E1" s="3401" t="s">
        <v>68</v>
      </c>
      <c r="F1" s="3401"/>
      <c r="G1" s="3401"/>
      <c r="H1" s="3401"/>
      <c r="I1" s="3401"/>
      <c r="J1" s="3401"/>
      <c r="K1" s="3401"/>
      <c r="L1" s="3401"/>
      <c r="M1" s="3401"/>
    </row>
    <row r="2" spans="1:13" ht="27" customHeight="1">
      <c r="A2" s="3400"/>
      <c r="B2" s="3400"/>
      <c r="C2" s="3400"/>
      <c r="D2" s="3401"/>
      <c r="E2" s="3401" t="s">
        <v>51</v>
      </c>
      <c r="F2" s="3401" t="s">
        <v>52</v>
      </c>
      <c r="G2" s="3401"/>
      <c r="H2" s="3401"/>
      <c r="I2" s="3401"/>
      <c r="J2" s="3401" t="s">
        <v>53</v>
      </c>
      <c r="K2" s="3401"/>
      <c r="L2" s="3401"/>
      <c r="M2" s="3401"/>
    </row>
    <row r="3" spans="1:13" ht="28.5">
      <c r="A3" s="3400"/>
      <c r="B3" s="3400"/>
      <c r="C3" s="3400"/>
      <c r="D3" s="3401"/>
      <c r="E3" s="340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1" t="s">
        <v>69</v>
      </c>
      <c r="B9" s="3401"/>
      <c r="C9" s="340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18" sqref="D18"/>
    </sheetView>
  </sheetViews>
  <sheetFormatPr defaultColWidth="13.75" defaultRowHeight="12.75"/>
  <cols>
    <col min="1" max="1" width="20.875" style="2659" customWidth="1"/>
    <col min="2" max="2" width="18"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1562</v>
      </c>
      <c r="B1" s="947"/>
      <c r="D1" s="2603"/>
      <c r="E1" s="2603"/>
    </row>
    <row r="2" spans="1:41" s="2607" customFormat="1" ht="15.75" thickBot="1">
      <c r="A2" s="2893" t="s">
        <v>1563</v>
      </c>
      <c r="B2" s="2894">
        <f>项目基本情况!D2</f>
        <v>44553</v>
      </c>
      <c r="C2" s="1655"/>
      <c r="D2" s="3402" t="s">
        <v>1564</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1565</v>
      </c>
      <c r="B3" s="2608" t="s">
        <v>3041</v>
      </c>
      <c r="C3" s="1655"/>
      <c r="D3" s="3403"/>
      <c r="E3" s="2609" t="s">
        <v>2986</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1566</v>
      </c>
      <c r="B4" s="2608" t="s">
        <v>2985</v>
      </c>
      <c r="C4" s="1655"/>
      <c r="D4" s="3403"/>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1567</v>
      </c>
      <c r="B5" s="2611">
        <f>项目基本情况!C12</f>
        <v>134.43</v>
      </c>
      <c r="C5" s="1655"/>
      <c r="D5" s="2895" t="s">
        <v>1568</v>
      </c>
      <c r="E5" s="2612">
        <v>63</v>
      </c>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1569</v>
      </c>
      <c r="B6" s="2614">
        <f>项目基本情况!C13</f>
        <v>0</v>
      </c>
      <c r="C6" s="1655"/>
      <c r="D6" s="2895" t="s">
        <v>1570</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1571</v>
      </c>
      <c r="B10" s="2616" t="s">
        <v>2987</v>
      </c>
      <c r="C10" s="1655"/>
      <c r="D10" s="2893" t="s">
        <v>1572</v>
      </c>
      <c r="E10" s="2897" t="s">
        <v>1573</v>
      </c>
      <c r="F10" s="3062" t="s">
        <v>2781</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1574</v>
      </c>
      <c r="B11" s="2618">
        <v>50</v>
      </c>
      <c r="C11" s="1655"/>
      <c r="D11" s="2899" t="s">
        <v>1575</v>
      </c>
      <c r="E11" s="2619">
        <v>160</v>
      </c>
      <c r="F11" s="1282" t="s">
        <v>1576</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1577</v>
      </c>
      <c r="B12" s="2621">
        <v>58424</v>
      </c>
      <c r="C12" s="1655">
        <f>2059-2021</f>
        <v>38</v>
      </c>
      <c r="D12" s="2900" t="s">
        <v>1578</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1579</v>
      </c>
      <c r="B13" s="2902">
        <f>IF(B12="",B11-(YEAR($B$2)-B27+B24),ROUNDDOWN(MIN((B12-$B$2)/365,B11),2))</f>
        <v>38</v>
      </c>
      <c r="C13" s="2937"/>
      <c r="D13" s="2903" t="s">
        <v>1580</v>
      </c>
      <c r="E13" s="2623">
        <f>成本法!C10</f>
        <v>12600</v>
      </c>
      <c r="F13" s="1280" t="s">
        <v>1581</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1582</v>
      </c>
      <c r="B14" s="2904">
        <f>IF(ISERROR(ROUND(POWER(1+B15,B11-B13)*(POWER(1+B15,B13)-1)/(POWER(1+B15,B11)-1),3)),0,ROUND(POWER(1+B15,B11-B13)*(POWER(1+B15,B13)-1)/(POWER(1+B15,B11)-1),3))</f>
        <v>0.92400000000000004</v>
      </c>
      <c r="C14" s="1655"/>
      <c r="D14" s="2905" t="s">
        <v>1583</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1584</v>
      </c>
      <c r="B15" s="2625">
        <v>0.05</v>
      </c>
      <c r="C15" s="2533" t="s">
        <v>2782</v>
      </c>
      <c r="D15" s="2900" t="s">
        <v>1585</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1586</v>
      </c>
      <c r="B16" s="2625">
        <v>5.5E-2</v>
      </c>
      <c r="C16" s="2533" t="s">
        <v>2783</v>
      </c>
      <c r="D16" s="2907" t="s">
        <v>1587</v>
      </c>
      <c r="E16" s="2626">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2780</v>
      </c>
      <c r="B17" s="3060">
        <v>0.08</v>
      </c>
      <c r="C17" s="2533" t="s">
        <v>2784</v>
      </c>
      <c r="D17" s="2896" t="s">
        <v>1589</v>
      </c>
      <c r="E17" s="2627">
        <v>4000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1588</v>
      </c>
      <c r="B18" s="3068"/>
      <c r="C18" s="1655"/>
      <c r="D18" s="2909" t="str">
        <f>IF(B26=0,"建安总额","在建建安")</f>
        <v>建安总额</v>
      </c>
      <c r="E18" s="2910">
        <f>ROUND(B5*E17*IF(B26=0,1,E20),0)</f>
        <v>537720</v>
      </c>
      <c r="F18" s="2628">
        <f>ROUND(E5*E17*IF(B26=0,1,E20),0)</f>
        <v>252000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1590</v>
      </c>
      <c r="B20" s="1281"/>
      <c r="C20" s="1655"/>
      <c r="D20" s="2913" t="str">
        <f>IF(B26=0,"成新率","工程进度")</f>
        <v>成新率</v>
      </c>
      <c r="E20" s="2630">
        <v>0.83</v>
      </c>
      <c r="F20" s="947"/>
      <c r="G20" s="1655">
        <f>2021-2011</f>
        <v>10</v>
      </c>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1591</v>
      </c>
      <c r="B21" s="2629">
        <v>0</v>
      </c>
      <c r="C21" s="1655"/>
      <c r="D21" s="2900" t="s">
        <v>1593</v>
      </c>
      <c r="E21" s="2632">
        <v>0.03</v>
      </c>
      <c r="F21" s="2643" t="s">
        <v>2790</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1592</v>
      </c>
      <c r="B22" s="2631">
        <v>2</v>
      </c>
      <c r="C22" s="1655"/>
      <c r="D22" s="2900" t="s">
        <v>1595</v>
      </c>
      <c r="E22" s="2635">
        <v>0</v>
      </c>
      <c r="F22" s="2643" t="s">
        <v>2788</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1594</v>
      </c>
      <c r="B23" s="2634">
        <v>2</v>
      </c>
      <c r="C23" s="1655"/>
      <c r="D23" s="2900" t="s">
        <v>1597</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1596</v>
      </c>
      <c r="B24" s="2917">
        <f>B21+B22</f>
        <v>2</v>
      </c>
      <c r="C24" s="1655"/>
      <c r="D24" s="2907" t="s">
        <v>1599</v>
      </c>
      <c r="E24" s="2636">
        <v>1.4999999999999999E-2</v>
      </c>
      <c r="F24" s="2643" t="s">
        <v>2791</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1598</v>
      </c>
      <c r="B25" s="2919">
        <f>B21+B23</f>
        <v>2</v>
      </c>
      <c r="C25" s="1655"/>
      <c r="D25" s="2899" t="s">
        <v>1601</v>
      </c>
      <c r="E25" s="2632">
        <v>0.02</v>
      </c>
      <c r="F25" s="2643" t="s">
        <v>2789</v>
      </c>
      <c r="I25" s="2938"/>
    </row>
    <row r="26" spans="1:41" ht="15" thickBot="1">
      <c r="A26" s="2916" t="s">
        <v>1600</v>
      </c>
      <c r="B26" s="2920">
        <f>B22-B23</f>
        <v>0</v>
      </c>
      <c r="D26" s="2900" t="s">
        <v>1603</v>
      </c>
      <c r="E26" s="2635">
        <v>0.02</v>
      </c>
      <c r="F26" s="2643" t="s">
        <v>2789</v>
      </c>
      <c r="G26" s="2939"/>
      <c r="H26" s="2939"/>
      <c r="I26" s="1655"/>
      <c r="J26" s="1655"/>
      <c r="K26" s="1655"/>
      <c r="L26" s="1655"/>
      <c r="M26" s="1655"/>
      <c r="N26" s="1655"/>
    </row>
    <row r="27" spans="1:41" ht="15.75" thickBot="1">
      <c r="A27" s="2921" t="s">
        <v>1602</v>
      </c>
      <c r="B27" s="2637">
        <v>2011</v>
      </c>
      <c r="C27" s="1655"/>
      <c r="D27" s="3127" t="s">
        <v>2989</v>
      </c>
      <c r="E27" s="2922">
        <f ca="1">IF(D27="利息：取LPR",存贷款利率!G1,存贷款利率!G1+F27)</f>
        <v>4.3499999999999997E-2</v>
      </c>
      <c r="F27" s="3128">
        <v>5.0000000000000001E-3</v>
      </c>
      <c r="G27" s="2939"/>
      <c r="H27" s="2939"/>
      <c r="K27" s="1655"/>
      <c r="N27" s="1655"/>
    </row>
    <row r="28" spans="1:41" ht="15" thickBot="1">
      <c r="A28" s="947"/>
      <c r="B28" s="947"/>
      <c r="D28" s="2903" t="s">
        <v>1605</v>
      </c>
      <c r="E28" s="2639">
        <v>0.15</v>
      </c>
      <c r="G28" s="2939"/>
      <c r="H28" s="2939"/>
      <c r="K28" s="1655"/>
      <c r="N28" s="1655"/>
    </row>
    <row r="29" spans="1:41" ht="14.25">
      <c r="A29" s="2923" t="s">
        <v>1604</v>
      </c>
      <c r="B29" s="2638" t="s">
        <v>2988</v>
      </c>
      <c r="D29" s="2905" t="s">
        <v>1606</v>
      </c>
      <c r="E29" s="2924">
        <f>E30+E31</f>
        <v>5.6000000000000001E-2</v>
      </c>
      <c r="F29" s="1280"/>
      <c r="G29" s="2939"/>
      <c r="H29" s="2939"/>
      <c r="K29" s="1655"/>
      <c r="N29" s="1655"/>
    </row>
    <row r="30" spans="1:41" ht="14.25">
      <c r="A30" s="2900" t="str">
        <f>IF(B29="租赁期内按合同租金","合同租金","市场租金")</f>
        <v>市场租金</v>
      </c>
      <c r="B30" s="2640">
        <v>3.5</v>
      </c>
      <c r="D30" s="2907" t="s">
        <v>1608</v>
      </c>
      <c r="E30" s="2641">
        <v>0.05</v>
      </c>
      <c r="F30" s="2926">
        <f>IF(B2&lt;DATE(2016,5,1),0,E30)</f>
        <v>0.05</v>
      </c>
      <c r="G30" s="2939"/>
      <c r="H30" s="2939"/>
      <c r="K30" s="1655"/>
      <c r="N30" s="1655"/>
    </row>
    <row r="31" spans="1:41" ht="14.25">
      <c r="A31" s="2900" t="s">
        <v>1607</v>
      </c>
      <c r="B31" s="2925">
        <f ca="1">存贷款利率!I1</f>
        <v>1.4999999999999999E-2</v>
      </c>
      <c r="D31" s="2907" t="s">
        <v>1610</v>
      </c>
      <c r="E31" s="2927">
        <f>E30*(E32+E33+E34)+E35</f>
        <v>6.000000000000001E-3</v>
      </c>
      <c r="F31" s="1280"/>
      <c r="G31" s="2939"/>
      <c r="H31" s="2939"/>
      <c r="K31" s="1655"/>
      <c r="N31" s="1655"/>
    </row>
    <row r="32" spans="1:41" ht="14.25">
      <c r="A32" s="2900" t="s">
        <v>1609</v>
      </c>
      <c r="B32" s="2625">
        <v>0.03</v>
      </c>
      <c r="D32" s="2907" t="s">
        <v>1612</v>
      </c>
      <c r="E32" s="2642">
        <v>7.0000000000000007E-2</v>
      </c>
      <c r="F32" s="2643" t="s">
        <v>2675</v>
      </c>
      <c r="G32" s="2939"/>
      <c r="H32" s="2939"/>
      <c r="K32" s="1655"/>
      <c r="L32" s="1655"/>
      <c r="M32" s="1655"/>
      <c r="N32" s="1655"/>
    </row>
    <row r="33" spans="1:14" ht="14.25">
      <c r="A33" s="2900" t="s">
        <v>1611</v>
      </c>
      <c r="B33" s="2625">
        <v>0.1</v>
      </c>
      <c r="D33" s="2907" t="s">
        <v>1614</v>
      </c>
      <c r="E33" s="2641">
        <v>0.03</v>
      </c>
      <c r="F33" s="1279" t="s">
        <v>1615</v>
      </c>
      <c r="G33" s="2939"/>
      <c r="H33" s="2939"/>
      <c r="K33" s="1655"/>
      <c r="L33" s="1655"/>
      <c r="M33" s="1655"/>
      <c r="N33" s="1655"/>
    </row>
    <row r="34" spans="1:14" s="2645" customFormat="1" ht="14.25">
      <c r="A34" s="2900" t="s">
        <v>1613</v>
      </c>
      <c r="B34" s="2928">
        <f>收益法!J54</f>
        <v>38</v>
      </c>
      <c r="D34" s="2907" t="s">
        <v>1616</v>
      </c>
      <c r="E34" s="2641">
        <v>0.02</v>
      </c>
      <c r="F34" s="1279" t="s">
        <v>1617</v>
      </c>
      <c r="G34" s="2939"/>
      <c r="H34" s="2939"/>
      <c r="I34" s="1655"/>
      <c r="J34" s="1655"/>
      <c r="K34" s="1655"/>
      <c r="L34" s="1655"/>
      <c r="M34" s="1655"/>
      <c r="N34" s="1655"/>
    </row>
    <row r="35" spans="1:14" s="2645" customFormat="1" ht="15" thickBot="1">
      <c r="A35" s="2907" t="str">
        <f>IF(B29="租赁期内按合同租金","剩余租赁期","——")</f>
        <v>——</v>
      </c>
      <c r="B35" s="2644"/>
      <c r="D35" s="2903" t="s">
        <v>1619</v>
      </c>
      <c r="E35" s="2647"/>
      <c r="F35" s="1282" t="s">
        <v>1620</v>
      </c>
      <c r="G35" s="2939"/>
      <c r="H35" s="2939"/>
      <c r="I35" s="1655"/>
      <c r="J35" s="1655"/>
      <c r="K35" s="1655"/>
      <c r="L35" s="1655"/>
      <c r="M35" s="1655"/>
      <c r="N35" s="1655"/>
    </row>
    <row r="36" spans="1:14" s="2645" customFormat="1" ht="15">
      <c r="A36" s="2929" t="s">
        <v>1618</v>
      </c>
      <c r="B36" s="2930"/>
      <c r="D36" s="2931" t="s">
        <v>1621</v>
      </c>
      <c r="E36" s="2649">
        <v>0.03</v>
      </c>
      <c r="F36" s="1281" t="s">
        <v>1622</v>
      </c>
      <c r="G36" s="2939"/>
      <c r="H36" s="2939"/>
      <c r="I36" s="1655"/>
      <c r="J36" s="1655"/>
      <c r="K36" s="1655"/>
      <c r="L36" s="1655"/>
      <c r="M36" s="1655"/>
      <c r="N36" s="1655"/>
    </row>
    <row r="37" spans="1:14" s="2645" customFormat="1" ht="15" thickBot="1">
      <c r="A37" s="2905" t="str">
        <f>IF(B29="租赁期内按合同租金","租金","——")</f>
        <v>——</v>
      </c>
      <c r="B37" s="2648"/>
      <c r="D37" s="2907" t="s">
        <v>1623</v>
      </c>
      <c r="E37" s="2641">
        <v>5.0000000000000001E-4</v>
      </c>
      <c r="F37" s="1281" t="s">
        <v>1624</v>
      </c>
      <c r="G37" s="2939"/>
      <c r="H37" s="2939"/>
      <c r="I37" s="1655"/>
      <c r="J37" s="1655"/>
      <c r="K37" s="1655"/>
      <c r="L37" s="1655"/>
      <c r="M37" s="1655"/>
      <c r="N37" s="1655"/>
    </row>
    <row r="38" spans="1:14" s="2645" customFormat="1" ht="14.25">
      <c r="A38" s="2900" t="str">
        <f>IF(B29="租赁期内按合同租金","年租金增长率","——")</f>
        <v>——</v>
      </c>
      <c r="B38" s="2625"/>
      <c r="D38" s="2932" t="s">
        <v>1625</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1626</v>
      </c>
      <c r="E39" s="2934">
        <v>0.12</v>
      </c>
      <c r="F39" s="1281"/>
      <c r="G39" s="2939"/>
      <c r="H39" s="2939"/>
      <c r="I39" s="1655"/>
      <c r="J39" s="1655"/>
      <c r="K39" s="1655"/>
      <c r="L39" s="1655"/>
      <c r="M39" s="1655"/>
      <c r="N39" s="1655"/>
    </row>
    <row r="40" spans="1:14" ht="14.25">
      <c r="A40" s="2900" t="str">
        <f>IF(B29="租赁期内按合同租金","成新率","——")</f>
        <v>——</v>
      </c>
      <c r="B40" s="2625"/>
      <c r="D40" s="2932" t="s">
        <v>1627</v>
      </c>
      <c r="E40" s="2936">
        <f>SUMIF(D42:D51,E41,E42:E51)</f>
        <v>1.5</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1629</v>
      </c>
      <c r="E41" s="2651" t="s">
        <v>70</v>
      </c>
      <c r="F41" s="1281" t="s">
        <v>1630</v>
      </c>
      <c r="G41" s="1742" t="s">
        <v>1631</v>
      </c>
      <c r="H41" s="2939"/>
      <c r="I41" s="1655"/>
      <c r="J41" s="1655"/>
      <c r="K41" s="1655"/>
      <c r="L41" s="1655"/>
      <c r="M41" s="1655"/>
      <c r="N41" s="1655"/>
    </row>
    <row r="42" spans="1:14" ht="14.25">
      <c r="A42" s="2899" t="s">
        <v>1628</v>
      </c>
      <c r="B42" s="2650"/>
      <c r="D42" s="2653" t="s">
        <v>1633</v>
      </c>
      <c r="E42" s="2640"/>
      <c r="F42" s="1281">
        <v>30</v>
      </c>
      <c r="G42" s="2939"/>
      <c r="H42" s="2939"/>
      <c r="I42" s="1655"/>
      <c r="J42" s="1655"/>
      <c r="K42" s="1655"/>
      <c r="L42" s="1655"/>
      <c r="M42" s="1655"/>
      <c r="N42" s="1655"/>
    </row>
    <row r="43" spans="1:14" ht="14.25">
      <c r="A43" s="2900" t="s">
        <v>1632</v>
      </c>
      <c r="B43" s="2652">
        <v>365</v>
      </c>
      <c r="D43" s="2653" t="s">
        <v>1635</v>
      </c>
      <c r="E43" s="2640"/>
      <c r="F43" s="1281">
        <v>24</v>
      </c>
      <c r="G43" s="2939"/>
      <c r="H43" s="2939"/>
      <c r="I43" s="1655"/>
      <c r="J43" s="1655"/>
      <c r="K43" s="1655"/>
      <c r="L43" s="1655"/>
      <c r="M43" s="1655"/>
      <c r="N43" s="1655"/>
    </row>
    <row r="44" spans="1:14" ht="14.25">
      <c r="A44" s="2900" t="s">
        <v>1634</v>
      </c>
      <c r="B44" s="2640"/>
      <c r="D44" s="2653" t="s">
        <v>1637</v>
      </c>
      <c r="E44" s="2640"/>
      <c r="F44" s="1281">
        <v>18</v>
      </c>
      <c r="G44" s="2645"/>
      <c r="H44" s="2645"/>
      <c r="I44" s="2939"/>
      <c r="J44" s="1655"/>
      <c r="K44" s="1655"/>
      <c r="L44" s="1655"/>
      <c r="M44" s="1655"/>
      <c r="N44" s="1655"/>
    </row>
    <row r="45" spans="1:14" ht="14.25">
      <c r="A45" s="2900" t="s">
        <v>1636</v>
      </c>
      <c r="B45" s="2654">
        <v>1.4999999999999999E-2</v>
      </c>
      <c r="C45" s="2533" t="s">
        <v>2787</v>
      </c>
      <c r="D45" s="2653" t="s">
        <v>1639</v>
      </c>
      <c r="E45" s="2640"/>
      <c r="F45" s="1281">
        <v>12</v>
      </c>
      <c r="G45" s="2645"/>
      <c r="H45" s="2645"/>
      <c r="M45" s="1655"/>
      <c r="N45" s="1655"/>
    </row>
    <row r="46" spans="1:14" ht="14.25">
      <c r="A46" s="2900" t="s">
        <v>1638</v>
      </c>
      <c r="B46" s="2655">
        <v>1.5E-3</v>
      </c>
      <c r="C46" s="2533" t="s">
        <v>2785</v>
      </c>
      <c r="D46" s="2653" t="s">
        <v>1401</v>
      </c>
      <c r="E46" s="2640"/>
      <c r="F46" s="1281">
        <v>3</v>
      </c>
      <c r="G46" s="2645"/>
      <c r="H46" s="2645"/>
      <c r="M46" s="1655"/>
      <c r="N46" s="1655"/>
    </row>
    <row r="47" spans="1:14" ht="15" thickBot="1">
      <c r="A47" s="2903" t="s">
        <v>1640</v>
      </c>
      <c r="B47" s="2656">
        <v>0.02</v>
      </c>
      <c r="C47" s="2533" t="s">
        <v>2786</v>
      </c>
      <c r="D47" s="2653" t="s">
        <v>1641</v>
      </c>
      <c r="E47" s="2640">
        <v>1.5</v>
      </c>
      <c r="F47" s="1281">
        <v>1.5</v>
      </c>
      <c r="G47" s="2645"/>
      <c r="H47" s="2645"/>
      <c r="M47" s="1655"/>
      <c r="N47" s="1655"/>
    </row>
    <row r="48" spans="1:14" ht="14.25">
      <c r="A48" s="2645"/>
      <c r="B48" s="2645"/>
      <c r="D48" s="2653" t="s">
        <v>1642</v>
      </c>
      <c r="E48" s="2640"/>
      <c r="F48" s="1281"/>
      <c r="G48" s="2645"/>
      <c r="H48" s="2645"/>
      <c r="M48" s="1655"/>
      <c r="N48" s="1655"/>
    </row>
    <row r="49" spans="1:41" ht="14.25">
      <c r="A49" s="2645"/>
      <c r="B49" s="2645"/>
      <c r="D49" s="2653" t="s">
        <v>1643</v>
      </c>
      <c r="E49" s="2640"/>
      <c r="F49" s="1281"/>
      <c r="G49" s="2645"/>
      <c r="H49" s="2645"/>
      <c r="M49" s="1655"/>
      <c r="N49" s="1655"/>
    </row>
    <row r="50" spans="1:41" ht="14.25">
      <c r="A50" s="2645"/>
      <c r="B50" s="2645"/>
      <c r="D50" s="2653" t="s">
        <v>1644</v>
      </c>
      <c r="E50" s="2640"/>
      <c r="F50" s="1281"/>
      <c r="G50" s="2645"/>
      <c r="H50" s="2645"/>
      <c r="M50" s="1655"/>
      <c r="N50" s="1655"/>
    </row>
    <row r="51" spans="1:41" s="947" customFormat="1" ht="15" thickBot="1">
      <c r="A51" s="2645"/>
      <c r="B51" s="2645"/>
      <c r="C51" s="2645"/>
      <c r="D51" s="2657" t="s">
        <v>1645</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04" t="s">
        <v>1646</v>
      </c>
      <c r="B1" s="3405"/>
      <c r="C1" s="3405"/>
      <c r="D1" s="3405"/>
      <c r="E1" s="3405"/>
      <c r="F1" s="3405"/>
      <c r="G1" s="3405"/>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2792</v>
      </c>
      <c r="D2" s="3072"/>
      <c r="E2" s="3069"/>
      <c r="F2" s="3073"/>
      <c r="G2" s="3071" t="s">
        <v>2793</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2794</v>
      </c>
      <c r="B3" s="3076" t="s">
        <v>2795</v>
      </c>
      <c r="C3" s="3077" t="s">
        <v>2796</v>
      </c>
      <c r="D3" s="3078"/>
      <c r="E3" s="3079" t="s">
        <v>2794</v>
      </c>
      <c r="F3" s="3080" t="s">
        <v>2797</v>
      </c>
      <c r="G3" s="3081" t="s">
        <v>2798</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2799</v>
      </c>
      <c r="C4" s="3082" t="s">
        <v>2800</v>
      </c>
      <c r="D4" s="3078"/>
      <c r="E4" s="3083"/>
      <c r="F4" s="3065" t="s">
        <v>2801</v>
      </c>
      <c r="G4" s="3084" t="s">
        <v>2802</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2803</v>
      </c>
      <c r="C5" s="3082" t="s">
        <v>2804</v>
      </c>
      <c r="D5" s="3078"/>
      <c r="E5" s="3083"/>
      <c r="F5" s="3063" t="s">
        <v>2805</v>
      </c>
      <c r="G5" s="3084" t="s">
        <v>2806</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2807</v>
      </c>
      <c r="C6" s="3084" t="s">
        <v>2802</v>
      </c>
      <c r="D6" s="3078"/>
      <c r="E6" s="3083"/>
      <c r="F6" s="3063" t="s">
        <v>2808</v>
      </c>
      <c r="G6" s="3084" t="s">
        <v>2809</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2805</v>
      </c>
      <c r="C7" s="3084" t="s">
        <v>2806</v>
      </c>
      <c r="D7" s="2952"/>
      <c r="E7" s="3085"/>
      <c r="F7" s="3086" t="s">
        <v>2810</v>
      </c>
      <c r="G7" s="3087" t="s">
        <v>2811</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2808</v>
      </c>
      <c r="C8" s="3084" t="s">
        <v>2809</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2812</v>
      </c>
      <c r="C9" s="3082" t="s">
        <v>2813</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2814</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1652</v>
      </c>
      <c r="B13" s="2671"/>
      <c r="C13" s="2671"/>
      <c r="D13" s="2667"/>
      <c r="E13" s="2671"/>
      <c r="F13" s="2671"/>
      <c r="G13" s="2671"/>
    </row>
    <row r="14" spans="1:29" s="2604" customFormat="1" ht="13.5" thickBot="1">
      <c r="A14" s="3094"/>
      <c r="B14" s="3094"/>
      <c r="C14" s="3095" t="s">
        <v>2815</v>
      </c>
      <c r="D14" s="3078"/>
      <c r="E14" s="3096"/>
      <c r="F14" s="3096"/>
      <c r="G14" s="3071" t="s">
        <v>2816</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2817</v>
      </c>
      <c r="B15" s="3101" t="s">
        <v>2795</v>
      </c>
      <c r="C15" s="3102" t="str">
        <f>C3</f>
        <v>估价对象周边居住用地比例、居住小区规模和社区发展完善程度，综合评价居住社区成熟度一般</v>
      </c>
      <c r="D15" s="3078"/>
      <c r="E15" s="3103" t="s">
        <v>2818</v>
      </c>
      <c r="F15" s="3101" t="s">
        <v>2819</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2799</v>
      </c>
      <c r="C16" s="3106" t="str">
        <f>C4</f>
        <v>估价对象位于XX商圈，周边商业氛围成熟，人流量大，商业繁华度好</v>
      </c>
      <c r="D16" s="3078"/>
      <c r="E16" s="3107"/>
      <c r="F16" s="3064" t="s">
        <v>2801</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2803</v>
      </c>
      <c r="C17" s="3106" t="str">
        <f>C5</f>
        <v>估价对象位于XX商圈，周边办公楼项目较多，入驻率高，办公集聚程度较好</v>
      </c>
      <c r="D17" s="2952"/>
      <c r="E17" s="3107"/>
      <c r="F17" s="3064" t="s">
        <v>2820</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2807</v>
      </c>
      <c r="C18" s="3108" t="str">
        <f>C6</f>
        <v>估价对象周边道路状况、公共交通通达情况、停车便捷程度，综合评价交通便捷度较好</v>
      </c>
      <c r="D18" s="2952"/>
      <c r="E18" s="3107"/>
      <c r="F18" s="3064" t="s">
        <v>2810</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2821</v>
      </c>
      <c r="C19" s="3109"/>
      <c r="D19" s="3078"/>
      <c r="E19" s="3107"/>
      <c r="F19" s="3063" t="s">
        <v>2805</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2822</v>
      </c>
      <c r="C20" s="3106" t="str">
        <f>C9</f>
        <v>区域自然环境：；人文环境；综合评价环境状况一般</v>
      </c>
      <c r="D20" s="2952"/>
      <c r="E20" s="3107"/>
      <c r="F20" s="3063" t="s">
        <v>2808</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2805</v>
      </c>
      <c r="C21" s="3108" t="str">
        <f>C7</f>
        <v>估价对象所在区域公共配套设施齐备情况</v>
      </c>
      <c r="D21" s="3078"/>
      <c r="E21" s="3107"/>
      <c r="F21" s="3064" t="s">
        <v>2823</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2808</v>
      </c>
      <c r="C22" s="3108" t="str">
        <f>C8</f>
        <v>估价对象所在区域基础设施水平</v>
      </c>
      <c r="D22" s="3078"/>
      <c r="E22" s="3107"/>
      <c r="F22" s="3064" t="s">
        <v>2814</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2823</v>
      </c>
      <c r="C23" s="3110"/>
      <c r="D23" s="3097"/>
      <c r="E23" s="3112"/>
      <c r="F23" s="3066" t="s">
        <v>2824</v>
      </c>
      <c r="G23" s="3113"/>
      <c r="H23" s="3097"/>
      <c r="I23" s="3098"/>
      <c r="J23" s="3097"/>
      <c r="K23" s="3097"/>
      <c r="L23" s="3098"/>
      <c r="M23" s="3097"/>
      <c r="N23" s="3097"/>
      <c r="O23" s="3098"/>
      <c r="P23" s="3097"/>
      <c r="Q23" s="3097"/>
      <c r="R23" s="3099"/>
    </row>
    <row r="24" spans="1:29" s="3074" customFormat="1" ht="13.5" thickBot="1">
      <c r="A24" s="3114"/>
      <c r="B24" s="3066" t="s">
        <v>2825</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B14" sqref="B14"/>
    </sheetView>
  </sheetViews>
  <sheetFormatPr defaultColWidth="14.625" defaultRowHeight="13.5"/>
  <cols>
    <col min="1" max="1" width="24.375" style="2553" customWidth="1"/>
    <col min="2" max="16384" width="14.625" style="2553"/>
  </cols>
  <sheetData>
    <row r="1" spans="1:9" ht="16.5">
      <c r="A1" s="2551" t="s">
        <v>1155</v>
      </c>
      <c r="B1" s="2551">
        <f>SUM(B14:B23)</f>
        <v>134.43</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44553</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390</v>
      </c>
      <c r="C5" s="2551">
        <f ca="1">ROUND(B5*10000/$B$1,0)</f>
        <v>29011</v>
      </c>
      <c r="D5" s="2551" t="e">
        <f ca="1">ROUND(B5*10000/$B$2,0)</f>
        <v>#DIV/0!</v>
      </c>
      <c r="E5" s="1604"/>
      <c r="F5" s="2552"/>
      <c r="G5" s="2552"/>
    </row>
    <row r="6" spans="1:9" ht="16.5">
      <c r="A6" s="2551" t="s">
        <v>1163</v>
      </c>
      <c r="B6" s="2551">
        <f ca="1">SUM(G14:G23)</f>
        <v>390</v>
      </c>
      <c r="C6" s="2551">
        <f t="shared" ref="C6:C8" ca="1" si="0">ROUND(B6*10000/$B$1,0)</f>
        <v>29011</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1183</v>
      </c>
      <c r="B11" s="2555"/>
      <c r="C11" s="1604"/>
      <c r="D11" s="1604"/>
      <c r="E11" s="1604"/>
      <c r="F11" s="2552"/>
      <c r="G11" s="2552"/>
    </row>
    <row r="12" spans="1:9" ht="16.5">
      <c r="A12" s="1604"/>
      <c r="B12" s="1604"/>
      <c r="C12" s="1604"/>
      <c r="D12" s="1604"/>
      <c r="E12" s="1604"/>
      <c r="F12" s="2552"/>
      <c r="G12" s="2552"/>
    </row>
    <row r="13" spans="1:9" ht="33">
      <c r="A13" s="2556" t="s">
        <v>1182</v>
      </c>
      <c r="B13" s="2557" t="s">
        <v>1155</v>
      </c>
      <c r="C13" s="2557" t="s">
        <v>1156</v>
      </c>
      <c r="D13" s="2557" t="s">
        <v>1168</v>
      </c>
      <c r="E13" s="2551" t="s">
        <v>1160</v>
      </c>
      <c r="F13" s="2551" t="s">
        <v>1161</v>
      </c>
      <c r="G13" s="2557" t="s">
        <v>1169</v>
      </c>
      <c r="H13" s="2557" t="s">
        <v>1170</v>
      </c>
      <c r="I13" s="2557" t="s">
        <v>1171</v>
      </c>
    </row>
    <row r="14" spans="1:9" ht="16.5">
      <c r="A14" s="2857" t="s">
        <v>1181</v>
      </c>
      <c r="B14" s="2887">
        <f>项目基本情况!C12</f>
        <v>134.43</v>
      </c>
      <c r="C14" s="2887">
        <f>项目基本情况!C13</f>
        <v>0</v>
      </c>
      <c r="D14" s="2887">
        <f ca="1">IF('数据-取费表'!B3="万元",IF(A14="估价对象1（结果表）",结果表!H121,'结果表 (1修多)'!H125),IF(A14="估价对象1（结果表）",结果表!H121,'结果表 (1修多)'!H125)/10000)</f>
        <v>390</v>
      </c>
      <c r="E14" s="2887">
        <f ca="1">ROUND(D14*10000/B14,0)</f>
        <v>29011</v>
      </c>
      <c r="F14" s="2887" t="e">
        <f ca="1">ROUND(D14*10000/C14,0)</f>
        <v>#DIV/0!</v>
      </c>
      <c r="G14" s="2887">
        <f ca="1">IF('数据-取费表'!B3="万元",IF(A14="估价对象1（结果表）",结果表!D125,'结果表 (1修多)'!D129),IF(A14="估价对象1（结果表）",结果表!D125,'结果表 (1修多)'!D129)/10000)</f>
        <v>390</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A55" sqref="A55:C55"/>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1653</v>
      </c>
      <c r="B1" s="1431"/>
      <c r="C1" s="1431"/>
      <c r="D1" s="1431"/>
      <c r="E1" s="1431"/>
      <c r="F1" s="1431"/>
      <c r="G1" s="1431"/>
      <c r="H1" s="1431"/>
      <c r="I1" s="1431"/>
    </row>
    <row r="2" spans="1:15" ht="21.75" customHeight="1">
      <c r="A2" s="3477" t="str">
        <f>项目基本情况!B1</f>
        <v>北京市房地产抵押价值预评估</v>
      </c>
      <c r="B2" s="3477"/>
      <c r="C2" s="3477"/>
      <c r="D2" s="3477"/>
      <c r="E2" s="3477"/>
      <c r="F2" s="3477"/>
      <c r="G2" s="3477"/>
      <c r="H2" s="3477"/>
      <c r="I2" s="3477"/>
      <c r="J2" s="2814"/>
    </row>
    <row r="3" spans="1:15" ht="12.75">
      <c r="A3" s="3482" t="s">
        <v>1654</v>
      </c>
      <c r="B3" s="3483"/>
      <c r="C3" s="3483"/>
      <c r="D3" s="3483"/>
      <c r="E3" s="3483"/>
      <c r="F3" s="3483"/>
      <c r="G3" s="3483"/>
      <c r="H3" s="3483"/>
      <c r="I3" s="3483"/>
      <c r="J3" s="2815"/>
    </row>
    <row r="4" spans="1:15" ht="14.25">
      <c r="A4" s="2683" t="s">
        <v>1655</v>
      </c>
      <c r="B4" s="2683" t="s">
        <v>1656</v>
      </c>
      <c r="C4" s="2684"/>
      <c r="D4" s="2684"/>
      <c r="E4" s="3479" t="s">
        <v>1657</v>
      </c>
      <c r="F4" s="3467"/>
      <c r="G4" s="3467"/>
      <c r="H4" s="3467"/>
      <c r="I4" s="3468"/>
      <c r="J4" s="2816"/>
      <c r="L4" s="1431" t="str">
        <f>IF(ISNUMBER(FIND("比较法",结果表!C4)),"比较法",IF(ISNUMBER(FIND("成本法",结果表!C4)),"成本法",IF(ISNUMBER(FIND("假设开发法",结果表!C4)),"假设开发法",IF(ISNUMBER(FIND("收益法",结果表!C4)),"收益法","基准地价系数修正法"))))</f>
        <v>基准地价系数修正法</v>
      </c>
      <c r="M4" s="1431" t="str">
        <f>IF(ISNUMBER(FIND("比较法",结果表!D4)),"比较法",IF(ISNUMBER(FIND("成本法",结果表!D4)),"成本法",IF(ISNUMBER(FIND("假设开发法",结果表!D4)),"假设开发法",IF(ISNUMBER(FIND("收益法",结果表!D4)),"收益法","基准地价系数修正法"))))</f>
        <v>基准地价系数修正法</v>
      </c>
      <c r="N4" s="1431"/>
      <c r="O4" s="1431"/>
    </row>
    <row r="5" spans="1:15" ht="12.75">
      <c r="A5" s="3478" t="s">
        <v>1658</v>
      </c>
      <c r="B5" s="3478">
        <v>25</v>
      </c>
      <c r="C5" s="3484"/>
      <c r="D5" s="3481"/>
      <c r="E5" s="12" t="s">
        <v>1659</v>
      </c>
      <c r="F5" s="2059"/>
      <c r="G5" s="2059"/>
      <c r="H5" s="2059"/>
      <c r="I5" s="2054"/>
      <c r="J5" s="2816"/>
    </row>
    <row r="6" spans="1:15" ht="12.75">
      <c r="A6" s="3478"/>
      <c r="B6" s="3478"/>
      <c r="C6" s="3485"/>
      <c r="D6" s="3481"/>
      <c r="E6" s="12" t="s">
        <v>1660</v>
      </c>
      <c r="F6" s="2059"/>
      <c r="G6" s="2059"/>
      <c r="H6" s="2059"/>
      <c r="I6" s="2054"/>
      <c r="J6" s="2816"/>
    </row>
    <row r="7" spans="1:15" ht="12.75">
      <c r="A7" s="3478"/>
      <c r="B7" s="3478"/>
      <c r="C7" s="3486"/>
      <c r="D7" s="3481"/>
      <c r="E7" s="12" t="s">
        <v>1661</v>
      </c>
      <c r="F7" s="2059"/>
      <c r="G7" s="2059"/>
      <c r="H7" s="2059"/>
      <c r="I7" s="2054"/>
      <c r="J7" s="2816"/>
    </row>
    <row r="8" spans="1:15" ht="12.75">
      <c r="A8" s="3478" t="s">
        <v>1662</v>
      </c>
      <c r="B8" s="3478">
        <v>15</v>
      </c>
      <c r="C8" s="3484"/>
      <c r="D8" s="3481"/>
      <c r="E8" s="12" t="s">
        <v>1663</v>
      </c>
      <c r="F8" s="2059"/>
      <c r="G8" s="2059"/>
      <c r="H8" s="2059"/>
      <c r="I8" s="2054"/>
      <c r="J8" s="2816"/>
    </row>
    <row r="9" spans="1:15" ht="12.75">
      <c r="A9" s="3478"/>
      <c r="B9" s="3478"/>
      <c r="C9" s="3486"/>
      <c r="D9" s="3481"/>
      <c r="E9" s="12" t="s">
        <v>1664</v>
      </c>
      <c r="F9" s="2059"/>
      <c r="G9" s="2059"/>
      <c r="H9" s="2059"/>
      <c r="I9" s="2054"/>
      <c r="J9" s="2816"/>
    </row>
    <row r="10" spans="1:15" ht="12.75">
      <c r="A10" s="3478" t="s">
        <v>1665</v>
      </c>
      <c r="B10" s="3478">
        <v>15</v>
      </c>
      <c r="C10" s="3484"/>
      <c r="D10" s="3481"/>
      <c r="E10" s="12" t="s">
        <v>1666</v>
      </c>
      <c r="F10" s="2059"/>
      <c r="G10" s="2059"/>
      <c r="H10" s="2059"/>
      <c r="I10" s="2054"/>
      <c r="J10" s="2816"/>
    </row>
    <row r="11" spans="1:15" ht="12.75">
      <c r="A11" s="3478"/>
      <c r="B11" s="3478"/>
      <c r="C11" s="3486"/>
      <c r="D11" s="3481"/>
      <c r="E11" s="12" t="s">
        <v>1667</v>
      </c>
      <c r="F11" s="2059"/>
      <c r="G11" s="2059"/>
      <c r="H11" s="2059"/>
      <c r="I11" s="2054"/>
      <c r="J11" s="2816"/>
    </row>
    <row r="12" spans="1:15" ht="12.75">
      <c r="A12" s="3478" t="s">
        <v>1668</v>
      </c>
      <c r="B12" s="3478">
        <v>15</v>
      </c>
      <c r="C12" s="3484"/>
      <c r="D12" s="3481"/>
      <c r="E12" s="12" t="s">
        <v>1669</v>
      </c>
      <c r="F12" s="2059"/>
      <c r="G12" s="2059"/>
      <c r="H12" s="2059"/>
      <c r="I12" s="2054"/>
      <c r="J12" s="2816"/>
    </row>
    <row r="13" spans="1:15" ht="12.75">
      <c r="A13" s="3478"/>
      <c r="B13" s="3478"/>
      <c r="C13" s="3486"/>
      <c r="D13" s="3481"/>
      <c r="E13" s="12" t="s">
        <v>1670</v>
      </c>
      <c r="F13" s="2059"/>
      <c r="G13" s="2059"/>
      <c r="H13" s="2059"/>
      <c r="I13" s="2054"/>
      <c r="J13" s="2816"/>
    </row>
    <row r="14" spans="1:15" ht="12.75">
      <c r="A14" s="3478" t="s">
        <v>1671</v>
      </c>
      <c r="B14" s="3478">
        <v>30</v>
      </c>
      <c r="C14" s="3484"/>
      <c r="D14" s="3481"/>
      <c r="E14" s="12" t="s">
        <v>1672</v>
      </c>
      <c r="F14" s="2059"/>
      <c r="G14" s="2059"/>
      <c r="H14" s="2059"/>
      <c r="I14" s="2054"/>
      <c r="J14" s="2816"/>
    </row>
    <row r="15" spans="1:15" ht="12.75">
      <c r="A15" s="3478"/>
      <c r="B15" s="3478"/>
      <c r="C15" s="3485"/>
      <c r="D15" s="3481"/>
      <c r="E15" s="12" t="s">
        <v>1673</v>
      </c>
      <c r="F15" s="2059"/>
      <c r="G15" s="2059"/>
      <c r="H15" s="2059"/>
      <c r="I15" s="2054"/>
      <c r="J15" s="2816"/>
    </row>
    <row r="16" spans="1:15" ht="12.75">
      <c r="A16" s="3478"/>
      <c r="B16" s="3478"/>
      <c r="C16" s="3486"/>
      <c r="D16" s="3481"/>
      <c r="E16" s="12" t="s">
        <v>1674</v>
      </c>
      <c r="F16" s="2059"/>
      <c r="G16" s="2059"/>
      <c r="H16" s="2059"/>
      <c r="I16" s="2054"/>
      <c r="J16" s="2816"/>
    </row>
    <row r="17" spans="1:36" ht="15">
      <c r="A17" s="2685" t="s">
        <v>1675</v>
      </c>
      <c r="B17" s="2064"/>
      <c r="C17" s="2686">
        <f>SUM(C5:C16)</f>
        <v>0</v>
      </c>
      <c r="D17" s="2686">
        <f>SUM(D5:D16)</f>
        <v>0</v>
      </c>
      <c r="E17" s="2533"/>
      <c r="F17" s="2533"/>
      <c r="G17" s="2533"/>
      <c r="H17" s="2533"/>
      <c r="I17" s="2533"/>
      <c r="J17" s="2817"/>
    </row>
    <row r="18" spans="1:36" ht="30" customHeight="1" thickBot="1">
      <c r="A18" s="2687" t="s">
        <v>1676</v>
      </c>
      <c r="B18" s="2688"/>
      <c r="C18" s="2689" t="e">
        <f>ROUND(C17/SUM(C17:D17),2)</f>
        <v>#DIV/0!</v>
      </c>
      <c r="D18" s="2689" t="e">
        <f>1-C18</f>
        <v>#DIV/0!</v>
      </c>
      <c r="E18" s="3498" t="s">
        <v>2760</v>
      </c>
      <c r="F18" s="3499"/>
      <c r="G18" s="3499"/>
      <c r="H18" s="3499"/>
      <c r="I18" s="3499"/>
      <c r="J18" s="2817"/>
    </row>
    <row r="19" spans="1:36" ht="15">
      <c r="A19" s="2690" t="s">
        <v>1677</v>
      </c>
      <c r="B19" s="2691" t="s">
        <v>1678</v>
      </c>
      <c r="C19" s="2692" t="e">
        <f ca="1">SUMIF(INDIRECT("'"&amp;C4&amp;"'"&amp;"!A:A"),结果表!B19,INDIRECT("'"&amp;C4&amp;"'"&amp;"!B:B"))</f>
        <v>#REF!</v>
      </c>
      <c r="D19" s="2693" t="e">
        <f ca="1">SUMIF(INDIRECT("'"&amp;D4&amp;"'"&amp;"!A:A"),结果表!B19,INDIRECT("'"&amp;D4&amp;"'"&amp;"!B:B"))</f>
        <v>#REF!</v>
      </c>
      <c r="E19" s="2690" t="s">
        <v>1679</v>
      </c>
      <c r="F19" s="2691" t="s">
        <v>1678</v>
      </c>
      <c r="G19" s="2694" t="e">
        <f ca="1">ROUND(C19*$C$18+D19*$D$18,0)</f>
        <v>#REF!</v>
      </c>
      <c r="H19" s="2695" t="str">
        <f>'数据-取费表'!B3</f>
        <v>万元</v>
      </c>
      <c r="I19" s="2743"/>
      <c r="J19" s="2818"/>
    </row>
    <row r="20" spans="1:36" ht="15">
      <c r="A20" s="2696"/>
      <c r="B20" s="1664" t="s">
        <v>1680</v>
      </c>
      <c r="C20" s="1889" t="e">
        <f ca="1">SUMIF(INDIRECT("'"&amp;C4&amp;"'"&amp;"!A:A"),结果表!B20,INDIRECT("'"&amp;C4&amp;"'"&amp;"!B:B"))</f>
        <v>#REF!</v>
      </c>
      <c r="D20" s="1892" t="e">
        <f ca="1">SUMIF(INDIRECT("'"&amp;D4&amp;"'"&amp;"!A:A"),结果表!B20,INDIRECT("'"&amp;D4&amp;"'"&amp;"!B:B"))</f>
        <v>#REF!</v>
      </c>
      <c r="E20" s="2696"/>
      <c r="F20" s="1664" t="s">
        <v>1680</v>
      </c>
      <c r="G20" s="2063" t="e">
        <f ca="1">ROUND(C20*$C$18+D20*$D$18,0)</f>
        <v>#REF!</v>
      </c>
      <c r="H20" s="2697" t="s">
        <v>1681</v>
      </c>
      <c r="I20" s="2533"/>
      <c r="J20" s="2817"/>
    </row>
    <row r="21" spans="1:36" ht="15" customHeight="1" thickBot="1">
      <c r="A21" s="2698"/>
      <c r="B21" s="2699"/>
      <c r="C21" s="2699"/>
      <c r="D21" s="2700"/>
      <c r="E21" s="2698"/>
      <c r="F21" s="2699"/>
      <c r="G21" s="2701"/>
      <c r="H21" s="2702"/>
      <c r="I21" s="2533"/>
      <c r="J21" s="2817"/>
    </row>
    <row r="22" spans="1:36" ht="15" thickBot="1">
      <c r="A22" s="2703" t="s">
        <v>1682</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87" t="s">
        <v>1683</v>
      </c>
      <c r="B24" s="2691" t="s">
        <v>1678</v>
      </c>
      <c r="C24" s="2694">
        <f>D30</f>
        <v>0</v>
      </c>
      <c r="D24" s="2646"/>
      <c r="E24" s="947"/>
      <c r="F24" s="947"/>
      <c r="G24" s="947"/>
      <c r="H24" s="947"/>
      <c r="I24" s="947"/>
      <c r="J24" s="2817"/>
    </row>
    <row r="25" spans="1:36" ht="21.75" customHeight="1">
      <c r="A25" s="3488"/>
      <c r="B25" s="1664" t="s">
        <v>1680</v>
      </c>
      <c r="C25" s="2706">
        <f>IF(B30=0,0,C30)</f>
        <v>0</v>
      </c>
      <c r="D25" s="2707"/>
      <c r="E25" s="947"/>
      <c r="F25" s="947"/>
      <c r="G25" s="947"/>
      <c r="H25" s="947"/>
      <c r="I25" s="947"/>
      <c r="J25" s="2817"/>
    </row>
    <row r="26" spans="1:36" ht="13.5" customHeight="1">
      <c r="A26" s="2708" t="s">
        <v>1684</v>
      </c>
      <c r="B26" s="2709" t="s">
        <v>1685</v>
      </c>
      <c r="C26" s="2709" t="s">
        <v>1686</v>
      </c>
      <c r="D26" s="2710" t="s">
        <v>1687</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1688</v>
      </c>
      <c r="B30" s="2745"/>
      <c r="C30" s="2745"/>
      <c r="D30" s="2745"/>
      <c r="E30" s="2712" t="s">
        <v>2764</v>
      </c>
      <c r="F30" s="2533"/>
      <c r="G30" s="2533"/>
      <c r="H30" s="2533"/>
      <c r="I30" s="2533"/>
      <c r="J30" s="2817"/>
    </row>
    <row r="31" spans="1:36" s="2810" customFormat="1" ht="26.45"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1689</v>
      </c>
      <c r="B32" s="2799" t="str">
        <f>'数据-取费表'!B4</f>
        <v>楼面单价</v>
      </c>
      <c r="C32" s="2800" t="e">
        <f ca="1">IF(B32="总价",G19-C24,G20-C25)</f>
        <v>#REF!</v>
      </c>
      <c r="D32" s="2801" t="str">
        <f>IF(B32="楼面单价","元/平方米",H19)</f>
        <v>元/平方米</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1690</v>
      </c>
      <c r="B33" s="255"/>
      <c r="C33" s="2714"/>
      <c r="D33" s="2715"/>
      <c r="E33" s="2716" t="s">
        <v>1691</v>
      </c>
      <c r="F33" s="2717" t="str">
        <f>IF(B32="楼面单价","取值（单价）","取值（总价）")</f>
        <v>取值（单价）</v>
      </c>
      <c r="G33" s="947"/>
      <c r="H33" s="947"/>
      <c r="I33" s="947"/>
      <c r="J33" s="2817"/>
    </row>
    <row r="34" spans="1:17" ht="15">
      <c r="A34" s="1436"/>
      <c r="B34" s="2718" t="s">
        <v>1692</v>
      </c>
      <c r="C34" s="2719" t="e">
        <f ca="1">IF(D33="自定义",F34,C32-C35)</f>
        <v>#REF!</v>
      </c>
      <c r="D34" s="2720">
        <f ca="1">IF(D33="自定义",ROUND(C34/C32,3),1-D35)</f>
        <v>0.79100000000000004</v>
      </c>
      <c r="E34" s="1405" t="s">
        <v>1693</v>
      </c>
      <c r="F34" s="2721">
        <v>2000</v>
      </c>
      <c r="G34" s="947"/>
      <c r="H34" s="947"/>
      <c r="I34" s="947"/>
      <c r="J34" s="2817"/>
    </row>
    <row r="35" spans="1:17" ht="15.75" thickBot="1">
      <c r="A35" s="1437"/>
      <c r="B35" s="2722" t="s">
        <v>1694</v>
      </c>
      <c r="C35" s="2723" t="e">
        <f ca="1">IF(D33="自定义",F35,ROUND(C32*D35,0))</f>
        <v>#REF!</v>
      </c>
      <c r="D35" s="2724">
        <f ca="1">IF(D33="自定义",ROUND(C35/C32,3),IF(D33="成本法成本比率",成本法!C56,IF(D33="收益法收益比率",收益法!J38,收益法!J41)))</f>
        <v>0.20899999999999999</v>
      </c>
      <c r="E35" s="2725" t="s">
        <v>1695</v>
      </c>
      <c r="F35" s="2726">
        <v>4460</v>
      </c>
      <c r="G35" s="947"/>
      <c r="H35" s="947"/>
      <c r="I35" s="947"/>
      <c r="J35" s="2817"/>
    </row>
    <row r="36" spans="1:17" ht="15.75" thickBot="1">
      <c r="A36" s="3487" t="s">
        <v>1696</v>
      </c>
      <c r="B36" s="1438" t="s">
        <v>1697</v>
      </c>
      <c r="C36" s="2727">
        <v>0</v>
      </c>
      <c r="D36" s="2728"/>
      <c r="E36" s="1650"/>
      <c r="F36" s="1650"/>
      <c r="G36" s="947"/>
      <c r="H36" s="947"/>
      <c r="I36" s="947"/>
      <c r="J36" s="2817"/>
    </row>
    <row r="37" spans="1:17" ht="15.75" thickBot="1">
      <c r="A37" s="3492"/>
      <c r="B37" s="2064" t="s">
        <v>1698</v>
      </c>
      <c r="C37" s="2729">
        <v>0</v>
      </c>
      <c r="D37" s="1281"/>
      <c r="E37" s="1281"/>
      <c r="F37" s="1650"/>
      <c r="G37" s="1281"/>
      <c r="H37" s="1281"/>
      <c r="I37" s="1281"/>
      <c r="J37" s="2821"/>
    </row>
    <row r="38" spans="1:17" ht="15.75" thickBot="1">
      <c r="A38" s="3493"/>
      <c r="B38" s="1439" t="s">
        <v>1699</v>
      </c>
      <c r="C38" s="2730">
        <v>0</v>
      </c>
      <c r="D38" s="2731" t="s">
        <v>1700</v>
      </c>
      <c r="E38" s="1281"/>
      <c r="F38" s="1650"/>
      <c r="G38" s="1281"/>
      <c r="H38" s="1281"/>
      <c r="I38" s="1281"/>
      <c r="J38" s="2821"/>
    </row>
    <row r="39" spans="1:17" ht="15">
      <c r="A39" s="2696" t="s">
        <v>1701</v>
      </c>
      <c r="B39" s="2732" t="s">
        <v>1685</v>
      </c>
      <c r="C39" s="2733" t="s">
        <v>1686</v>
      </c>
      <c r="D39" s="2733" t="s">
        <v>1702</v>
      </c>
      <c r="E39" s="2734" t="s">
        <v>1687</v>
      </c>
      <c r="F39" s="1650"/>
      <c r="G39" s="1281"/>
      <c r="H39" s="1281"/>
      <c r="I39" s="1281"/>
      <c r="J39" s="2821"/>
    </row>
    <row r="40" spans="1:17" ht="14.25">
      <c r="A40" s="2735" t="s">
        <v>1703</v>
      </c>
      <c r="B40" s="2736"/>
      <c r="C40" s="2737"/>
      <c r="D40" s="2737"/>
      <c r="E40" s="2738"/>
      <c r="F40" s="1650"/>
      <c r="G40" s="1281"/>
      <c r="H40" s="1281"/>
      <c r="I40" s="1281"/>
      <c r="J40" s="2821"/>
    </row>
    <row r="41" spans="1:17" ht="14.25">
      <c r="A41" s="2735" t="s">
        <v>1704</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1705</v>
      </c>
      <c r="B44" s="1442"/>
      <c r="C44" s="1442"/>
      <c r="D44" s="1443"/>
      <c r="E44" s="1443"/>
      <c r="F44" s="1444"/>
      <c r="G44" s="1444"/>
      <c r="H44" s="1444"/>
      <c r="I44" s="2811" t="s">
        <v>2759</v>
      </c>
      <c r="J44" s="2823"/>
      <c r="K44" s="1445" t="s">
        <v>1706</v>
      </c>
      <c r="L44" s="1446"/>
      <c r="M44" s="1446"/>
      <c r="N44" s="1446"/>
      <c r="O44" s="1446"/>
      <c r="P44" s="1446"/>
      <c r="Q44" s="1278"/>
    </row>
    <row r="45" spans="1:17" ht="14.25" customHeight="1" thickBot="1">
      <c r="A45" s="3412" t="s">
        <v>1707</v>
      </c>
      <c r="B45" s="3413"/>
      <c r="C45" s="3423"/>
      <c r="D45" s="246" t="e">
        <f ca="1">ROUND(I102*F45,0)</f>
        <v>#REF!</v>
      </c>
      <c r="E45" s="1512" t="s">
        <v>1708</v>
      </c>
      <c r="F45" s="2531">
        <v>1</v>
      </c>
      <c r="G45" s="2532" t="s">
        <v>1709</v>
      </c>
      <c r="H45" s="947"/>
      <c r="I45" s="947"/>
      <c r="J45" s="2817"/>
      <c r="K45" s="3418" t="s">
        <v>2689</v>
      </c>
      <c r="L45" s="3418"/>
      <c r="M45" s="3418"/>
      <c r="N45" s="3418"/>
      <c r="O45" s="3418"/>
      <c r="P45" s="3418"/>
      <c r="Q45" s="1278"/>
    </row>
    <row r="46" spans="1:17" ht="14.25" customHeight="1">
      <c r="A46" s="3489" t="s">
        <v>1711</v>
      </c>
      <c r="B46" s="3490"/>
      <c r="C46" s="3490"/>
      <c r="D46" s="3490"/>
      <c r="E46" s="3490"/>
      <c r="F46" s="3490"/>
      <c r="G46" s="3491"/>
      <c r="H46" s="2949"/>
      <c r="I46" s="947"/>
      <c r="J46" s="2817"/>
      <c r="K46" s="2506">
        <v>1</v>
      </c>
      <c r="L46" s="3419" t="s">
        <v>2690</v>
      </c>
      <c r="M46" s="3419"/>
      <c r="N46" s="3420" t="str">
        <f>项目基本情况!B1</f>
        <v>北京市房地产抵押价值预评估</v>
      </c>
      <c r="O46" s="3420"/>
      <c r="P46" s="3420"/>
      <c r="Q46" s="1278"/>
    </row>
    <row r="47" spans="1:17" ht="12" customHeight="1">
      <c r="A47" s="38" t="s">
        <v>1713</v>
      </c>
      <c r="B47" s="39"/>
      <c r="C47" s="40"/>
      <c r="D47" s="1070" t="s">
        <v>1714</v>
      </c>
      <c r="E47" s="235" t="s">
        <v>1715</v>
      </c>
      <c r="F47" s="41" t="s">
        <v>1716</v>
      </c>
      <c r="G47" s="2534" t="s">
        <v>1717</v>
      </c>
      <c r="H47" s="2949"/>
      <c r="I47" s="947"/>
      <c r="J47" s="2817"/>
      <c r="K47" s="2506">
        <v>2</v>
      </c>
      <c r="L47" s="3419" t="s">
        <v>2691</v>
      </c>
      <c r="M47" s="3419"/>
      <c r="N47" s="3421">
        <f>'数据-取费表'!B2</f>
        <v>44553</v>
      </c>
      <c r="O47" s="3421"/>
      <c r="P47" s="3421"/>
      <c r="Q47" s="1278"/>
    </row>
    <row r="48" spans="1:17" ht="25.5">
      <c r="A48" s="3494" t="s">
        <v>1719</v>
      </c>
      <c r="B48" s="3428"/>
      <c r="C48" s="3428"/>
      <c r="D48" s="12" t="e">
        <f ca="1">IF(H48="情况1",0,IF(H48="情况2",D52,IF(H48="情况3",D53,IF(H48="情况4",D54))))</f>
        <v>#REF!</v>
      </c>
      <c r="E48" s="2062" t="str">
        <f>IF(H48="情况4","(销售额-原购置价)×税（费）率","销售额×税（费）率")</f>
        <v>销售额×税（费）率</v>
      </c>
      <c r="F48" s="2535">
        <f>IF(H48="情况1","免征",'数据-取费表'!E29)</f>
        <v>5.6000000000000001E-2</v>
      </c>
      <c r="G48" s="2536" t="s">
        <v>1720</v>
      </c>
      <c r="H48" s="2537" t="s">
        <v>1721</v>
      </c>
      <c r="I48" s="2949"/>
      <c r="J48" s="2824"/>
      <c r="K48" s="2506">
        <v>3</v>
      </c>
      <c r="L48" s="3419" t="s">
        <v>2692</v>
      </c>
      <c r="M48" s="3419"/>
      <c r="N48" s="3420" t="e">
        <f ca="1">I102</f>
        <v>#REF!</v>
      </c>
      <c r="O48" s="3420"/>
      <c r="P48" s="3420"/>
      <c r="Q48" s="1278"/>
    </row>
    <row r="49" spans="1:17" ht="25.5" customHeight="1">
      <c r="A49" s="2061" t="s">
        <v>1723</v>
      </c>
      <c r="B49" s="3467" t="s">
        <v>1724</v>
      </c>
      <c r="C49" s="3467"/>
      <c r="D49" s="2538">
        <v>0</v>
      </c>
      <c r="E49" s="261" t="s">
        <v>1725</v>
      </c>
      <c r="F49" s="2539" t="s">
        <v>48</v>
      </c>
      <c r="G49" s="3409"/>
      <c r="H49" s="2540" t="s">
        <v>2766</v>
      </c>
      <c r="I49" s="2541"/>
      <c r="J49" s="2825"/>
      <c r="K49" s="2506">
        <v>4</v>
      </c>
      <c r="L49" s="3419" t="str">
        <f>IF(项目基本情况!F5="房地产抵押价值","房地产抵押价值","抵押担保权已注销时的房地产抵押价值")</f>
        <v>抵押担保权已注销时的房地产抵押价值</v>
      </c>
      <c r="M49" s="3419"/>
      <c r="N49" s="3420" t="str">
        <f>IF(项目基本情况!F5="房地产抵押价值",I110,I112)</f>
        <v>——</v>
      </c>
      <c r="O49" s="3420"/>
      <c r="P49" s="3420"/>
      <c r="Q49" s="1278"/>
    </row>
    <row r="50" spans="1:17" ht="25.5" customHeight="1">
      <c r="A50" s="2051"/>
      <c r="B50" s="3467" t="s">
        <v>1726</v>
      </c>
      <c r="C50" s="3467"/>
      <c r="D50" s="2542"/>
      <c r="E50" s="269"/>
      <c r="F50" s="2539"/>
      <c r="G50" s="3410"/>
      <c r="H50" s="2543" t="s">
        <v>2685</v>
      </c>
      <c r="I50" s="2541"/>
      <c r="J50" s="2825"/>
      <c r="K50" s="3419" t="s">
        <v>2693</v>
      </c>
      <c r="L50" s="3419"/>
      <c r="M50" s="3419"/>
      <c r="N50" s="3419"/>
      <c r="O50" s="3419"/>
      <c r="P50" s="3419"/>
      <c r="Q50" s="1278"/>
    </row>
    <row r="51" spans="1:17" ht="20.45" customHeight="1">
      <c r="A51" s="2544"/>
      <c r="B51" s="3467" t="s">
        <v>1728</v>
      </c>
      <c r="C51" s="3467"/>
      <c r="D51" s="1070"/>
      <c r="E51" s="264"/>
      <c r="F51" s="2539"/>
      <c r="G51" s="3411"/>
      <c r="H51" s="2543" t="s">
        <v>2686</v>
      </c>
      <c r="I51" s="2541"/>
      <c r="J51" s="2825"/>
      <c r="K51" s="2507" t="s">
        <v>2694</v>
      </c>
      <c r="L51" s="3419" t="s">
        <v>2695</v>
      </c>
      <c r="M51" s="3419"/>
      <c r="N51" s="2507" t="s">
        <v>2696</v>
      </c>
      <c r="O51" s="2507" t="s">
        <v>2697</v>
      </c>
      <c r="P51" s="2507" t="s">
        <v>2698</v>
      </c>
      <c r="Q51" s="1278"/>
    </row>
    <row r="52" spans="1:17" ht="24" customHeight="1">
      <c r="A52" s="2052" t="s">
        <v>1734</v>
      </c>
      <c r="B52" s="3467" t="s">
        <v>1735</v>
      </c>
      <c r="C52" s="3467"/>
      <c r="D52" s="1070" t="e">
        <f ca="1">ROUND(D45*'数据-取费表'!E29/(1+'数据-取费表'!F30),0)</f>
        <v>#REF!</v>
      </c>
      <c r="E52" s="2062" t="s">
        <v>1736</v>
      </c>
      <c r="F52" s="2545">
        <f>'数据-取费表'!E29</f>
        <v>5.6000000000000001E-2</v>
      </c>
      <c r="G52" s="2546"/>
      <c r="H52" s="947"/>
      <c r="I52" s="2950"/>
      <c r="J52" s="2825"/>
      <c r="K52" s="2506">
        <v>1</v>
      </c>
      <c r="L52" s="3408" t="s">
        <v>2699</v>
      </c>
      <c r="M52" s="3408"/>
      <c r="N52" s="2508" t="e">
        <f ca="1">D48</f>
        <v>#REF!</v>
      </c>
      <c r="O52" s="2506" t="str">
        <f>E48</f>
        <v>销售额×税（费）率</v>
      </c>
      <c r="P52" s="2509">
        <f>F48</f>
        <v>5.6000000000000001E-2</v>
      </c>
      <c r="Q52" s="1278"/>
    </row>
    <row r="53" spans="1:17" ht="12" customHeight="1">
      <c r="A53" s="2052" t="s">
        <v>1738</v>
      </c>
      <c r="B53" s="3479" t="s">
        <v>2778</v>
      </c>
      <c r="C53" s="3468"/>
      <c r="D53" s="1070" t="e">
        <f ca="1">ROUND(D45*'数据-取费表'!E29/(1+'数据-取费表'!F30),0)</f>
        <v>#REF!</v>
      </c>
      <c r="E53" s="2062" t="s">
        <v>1736</v>
      </c>
      <c r="F53" s="2545">
        <f>'数据-取费表'!E29</f>
        <v>5.6000000000000001E-2</v>
      </c>
      <c r="G53" s="2546"/>
      <c r="H53" s="947"/>
      <c r="I53" s="2950"/>
      <c r="J53" s="2825"/>
      <c r="K53" s="2506">
        <v>2</v>
      </c>
      <c r="L53" s="3408" t="s">
        <v>2700</v>
      </c>
      <c r="M53" s="3408"/>
      <c r="N53" s="2508">
        <f t="shared" ref="N53:P54" si="1">D55</f>
        <v>0</v>
      </c>
      <c r="O53" s="2506" t="str">
        <f t="shared" si="1"/>
        <v>销售额×税（费）率</v>
      </c>
      <c r="P53" s="2509" t="str">
        <f t="shared" si="1"/>
        <v>免征</v>
      </c>
      <c r="Q53" s="1278"/>
    </row>
    <row r="54" spans="1:17" ht="12" customHeight="1">
      <c r="A54" s="2052" t="s">
        <v>1740</v>
      </c>
      <c r="B54" s="3479" t="s">
        <v>2779</v>
      </c>
      <c r="C54" s="3468"/>
      <c r="D54" s="1070" t="e">
        <f ca="1">C68</f>
        <v>#REF!</v>
      </c>
      <c r="E54" s="264" t="s">
        <v>1741</v>
      </c>
      <c r="F54" s="2545">
        <f>'数据-取费表'!E29</f>
        <v>5.6000000000000001E-2</v>
      </c>
      <c r="G54" s="2546"/>
      <c r="H54" s="2951"/>
      <c r="I54" s="2950"/>
      <c r="J54" s="2825"/>
      <c r="K54" s="2506">
        <v>3</v>
      </c>
      <c r="L54" s="3408" t="s">
        <v>2701</v>
      </c>
      <c r="M54" s="3408"/>
      <c r="N54" s="2508">
        <f t="shared" si="1"/>
        <v>0</v>
      </c>
      <c r="O54" s="2506" t="str">
        <f t="shared" si="1"/>
        <v>增值额×税（费）率</v>
      </c>
      <c r="P54" s="2510" t="str">
        <f t="shared" si="1"/>
        <v>免征</v>
      </c>
      <c r="Q54" s="1278"/>
    </row>
    <row r="55" spans="1:17" ht="24" customHeight="1">
      <c r="A55" s="3432" t="s">
        <v>1743</v>
      </c>
      <c r="B55" s="3428"/>
      <c r="C55" s="3428"/>
      <c r="D55" s="12">
        <f>IF(H55="个人住宅",0,ROUND(D45*I55,0))</f>
        <v>0</v>
      </c>
      <c r="E55" s="2062" t="s">
        <v>1744</v>
      </c>
      <c r="F55" s="2545" t="str">
        <f>IF(H55="正常",I55,"免征")</f>
        <v>免征</v>
      </c>
      <c r="G55" s="2546"/>
      <c r="H55" s="2537" t="s">
        <v>2682</v>
      </c>
      <c r="I55" s="74">
        <f>'数据-取费表'!E37</f>
        <v>5.0000000000000001E-4</v>
      </c>
      <c r="J55" s="2825"/>
      <c r="K55" s="2506" t="str">
        <f>IF(H59="非个人房产","",4)</f>
        <v/>
      </c>
      <c r="L55" s="3408" t="str">
        <f>IF(H59="非个人房产","——","个人所得税")</f>
        <v>——</v>
      </c>
      <c r="M55" s="3408"/>
      <c r="N55" s="2511" t="str">
        <f>D59</f>
        <v>——</v>
      </c>
      <c r="O55" s="2512" t="str">
        <f>E59</f>
        <v>——</v>
      </c>
      <c r="P55" s="2513" t="str">
        <f>F59</f>
        <v>——</v>
      </c>
      <c r="Q55" s="1278"/>
    </row>
    <row r="56" spans="1:17" ht="24.75">
      <c r="A56" s="3432" t="s">
        <v>1746</v>
      </c>
      <c r="B56" s="3428"/>
      <c r="C56" s="3428"/>
      <c r="D56" s="12">
        <f>IF(H56="个人住宅",D57,D58)</f>
        <v>0</v>
      </c>
      <c r="E56" s="2062" t="s">
        <v>1747</v>
      </c>
      <c r="F56" s="2545" t="str">
        <f>IF(H56="正常",F58,"免征")</f>
        <v>免征</v>
      </c>
      <c r="G56" s="2547" t="s">
        <v>1748</v>
      </c>
      <c r="H56" s="2548" t="s">
        <v>2682</v>
      </c>
      <c r="I56" s="2952"/>
      <c r="J56" s="2825"/>
      <c r="K56" s="2506" t="str">
        <f>IF(项目基本情况!I6="上海银行",IF(K55="",4,K55+1),"")</f>
        <v/>
      </c>
      <c r="L56" s="3406" t="str">
        <f>IF(项目基本情况!I6="上海银行","其他处置费用","")</f>
        <v/>
      </c>
      <c r="M56" s="3426"/>
      <c r="N56" s="2508" t="str">
        <f>IF(项目基本情况!I6="上海银行",N69,"")</f>
        <v/>
      </c>
      <c r="O56" s="3406" t="str">
        <f>IF(项目基本情况!I6="上海银行","包含处置中涉及的律师、诉讼、拍卖、评估等费用","")</f>
        <v/>
      </c>
      <c r="P56" s="3407"/>
      <c r="Q56" s="1278"/>
    </row>
    <row r="57" spans="1:17" ht="12.75">
      <c r="A57" s="2052" t="s">
        <v>1723</v>
      </c>
      <c r="B57" s="3479" t="s">
        <v>1749</v>
      </c>
      <c r="C57" s="3468"/>
      <c r="D57" s="2538">
        <v>0</v>
      </c>
      <c r="E57" s="261" t="s">
        <v>1725</v>
      </c>
      <c r="F57" s="235"/>
      <c r="G57" s="2546"/>
      <c r="H57" s="2952"/>
      <c r="I57" s="2952"/>
      <c r="J57" s="2825"/>
      <c r="K57" s="3408">
        <f>IF(AND(K55="",K56=""),4,IF(项目基本情况!I6="上海银行",K56+1,K55+1))</f>
        <v>4</v>
      </c>
      <c r="L57" s="3408" t="s">
        <v>2702</v>
      </c>
      <c r="M57" s="2514" t="s">
        <v>2703</v>
      </c>
      <c r="N57" s="2515"/>
      <c r="O57" s="2516">
        <f ca="1">SUMIF(N52:N56,"&lt;9e307")</f>
        <v>0</v>
      </c>
      <c r="P57" s="2517"/>
      <c r="Q57" s="1276" t="e">
        <f ca="1">O57/N49</f>
        <v>#VALUE!</v>
      </c>
    </row>
    <row r="58" spans="1:17" ht="24.75">
      <c r="A58" s="2052" t="s">
        <v>1734</v>
      </c>
      <c r="B58" s="3479" t="s">
        <v>1752</v>
      </c>
      <c r="C58" s="3467"/>
      <c r="D58" s="12" t="e">
        <f ca="1">IF(H58="转让取得",C81,C97)</f>
        <v>#REF!</v>
      </c>
      <c r="E58" s="2062" t="s">
        <v>1747</v>
      </c>
      <c r="F58" s="235" t="s">
        <v>48</v>
      </c>
      <c r="G58" s="2546"/>
      <c r="H58" s="2548" t="s">
        <v>1753</v>
      </c>
      <c r="I58" s="2952"/>
      <c r="J58" s="2825"/>
      <c r="K58" s="3408"/>
      <c r="L58" s="3408"/>
      <c r="M58" s="2514" t="s">
        <v>2704</v>
      </c>
      <c r="N58" s="2518"/>
      <c r="O58" s="2519" t="str">
        <f ca="1">IF(H19="元",NUMBERSTRING(INT(O57),2)&amp;"元整",NUMBERSTRING(INT(O57*10000),2)&amp;"元整")</f>
        <v>零元整</v>
      </c>
      <c r="P58" s="2520"/>
      <c r="Q58" s="1278"/>
    </row>
    <row r="59" spans="1:17" ht="24.75" thickBot="1">
      <c r="A59" s="3495" t="s">
        <v>1755</v>
      </c>
      <c r="B59" s="3496"/>
      <c r="C59" s="3496"/>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2757</v>
      </c>
      <c r="H59" s="2066" t="s">
        <v>2767</v>
      </c>
      <c r="I59" s="2854" t="s">
        <v>2768</v>
      </c>
      <c r="J59" s="2825"/>
      <c r="K59" s="3461">
        <f>K57+1</f>
        <v>5</v>
      </c>
      <c r="L59" s="3408" t="s">
        <v>2705</v>
      </c>
      <c r="M59" s="2506" t="s">
        <v>2703</v>
      </c>
      <c r="N59" s="2521"/>
      <c r="O59" s="2522" t="e">
        <f ca="1">N49-O57</f>
        <v>#VALUE!</v>
      </c>
      <c r="P59" s="2523"/>
      <c r="Q59" s="1278"/>
    </row>
    <row r="60" spans="1:17" ht="12" customHeight="1">
      <c r="A60" s="1427"/>
      <c r="B60" s="1431"/>
      <c r="C60" s="1431"/>
      <c r="D60" s="1431"/>
      <c r="E60" s="812"/>
      <c r="F60" s="2953"/>
      <c r="G60" s="2953"/>
      <c r="H60" s="2954"/>
      <c r="I60" s="31"/>
      <c r="K60" s="3462"/>
      <c r="L60" s="3408"/>
      <c r="M60" s="2514" t="s">
        <v>2704</v>
      </c>
      <c r="N60" s="2518"/>
      <c r="O60" s="2519" t="e">
        <f ca="1">IF(H19="元",NUMBERSTRING(INT(O59),2)&amp;"元整",NUMBERSTRING(INT(O59*10000),2)&amp;"元整")</f>
        <v>#VALUE!</v>
      </c>
      <c r="P60" s="2520"/>
      <c r="Q60" s="1278"/>
    </row>
    <row r="61" spans="1:17" ht="13.5" thickBot="1">
      <c r="A61" s="3497" t="s">
        <v>1757</v>
      </c>
      <c r="B61" s="3497"/>
      <c r="C61" s="3497"/>
      <c r="D61" s="3497"/>
      <c r="E61" s="3497"/>
      <c r="F61" s="2953"/>
      <c r="G61" s="2953"/>
      <c r="H61" s="2955"/>
      <c r="I61" s="31"/>
      <c r="K61" s="2506">
        <f>K59+1</f>
        <v>6</v>
      </c>
      <c r="L61" s="3408" t="s">
        <v>2706</v>
      </c>
      <c r="M61" s="3408"/>
      <c r="N61" s="2524"/>
      <c r="O61" s="2525" t="e">
        <f ca="1">IF(H19="元",ROUND(O59/项目基本情况!C12,0),ROUND(O59*10000/项目基本情况!C12,0))</f>
        <v>#VALUE!</v>
      </c>
      <c r="P61" s="2526"/>
      <c r="Q61" s="1278"/>
    </row>
    <row r="62" spans="1:17" ht="12.75">
      <c r="A62" s="3446" t="s">
        <v>1759</v>
      </c>
      <c r="B62" s="3447"/>
      <c r="C62" s="1577"/>
      <c r="D62" s="1577" t="s">
        <v>1760</v>
      </c>
      <c r="E62" s="45" t="s">
        <v>1761</v>
      </c>
      <c r="F62" s="2953"/>
      <c r="G62" s="2953"/>
      <c r="H62" s="2955"/>
      <c r="I62" s="31"/>
      <c r="K62" s="2527"/>
      <c r="L62" s="2527"/>
      <c r="M62" s="2527"/>
      <c r="N62" s="2527"/>
      <c r="O62" s="2527"/>
      <c r="P62" s="2527"/>
      <c r="Q62" s="1278"/>
    </row>
    <row r="63" spans="1:17" ht="12.75">
      <c r="A63" s="46">
        <v>1</v>
      </c>
      <c r="B63" s="47" t="s">
        <v>1762</v>
      </c>
      <c r="C63" s="2756" t="e">
        <f ca="1">ROUND((C64+C65)/(1+'数据-取费表'!F30),0)</f>
        <v>#REF!</v>
      </c>
      <c r="D63" s="47"/>
      <c r="E63" s="48"/>
      <c r="F63" s="2953"/>
      <c r="G63" s="2953"/>
      <c r="H63" s="2955"/>
      <c r="I63" s="31"/>
      <c r="K63" s="3427" t="s">
        <v>2707</v>
      </c>
      <c r="L63" s="2528" t="s">
        <v>2708</v>
      </c>
      <c r="M63" s="2528" t="e">
        <f>IF(N49&gt;10000,N49*0.5%,IF(AND(N49&gt;1000,N49&lt;=10000),N49*1%,IF(AND(N49&gt;100,N49&lt;=1000),N49*3%,IF(AND(N49&gt;10,N49&lt;=100),N49*5%,N49*8%))))</f>
        <v>#VALUE!</v>
      </c>
      <c r="N63" s="2529" t="e">
        <f>ROUND(M63,1)</f>
        <v>#VALUE!</v>
      </c>
      <c r="O63" s="2527"/>
      <c r="P63" s="2527"/>
      <c r="Q63" s="1278"/>
    </row>
    <row r="64" spans="1:17" ht="12.75">
      <c r="A64" s="49" t="s">
        <v>71</v>
      </c>
      <c r="B64" s="50" t="s">
        <v>1765</v>
      </c>
      <c r="C64" s="2757" t="e">
        <f ca="1">D45</f>
        <v>#REF!</v>
      </c>
      <c r="D64" s="50" t="s">
        <v>41</v>
      </c>
      <c r="E64" s="52"/>
      <c r="F64" s="2953"/>
      <c r="G64" s="2953"/>
      <c r="H64" s="2955"/>
      <c r="I64" s="31"/>
      <c r="K64" s="3427"/>
      <c r="L64" s="2528" t="s">
        <v>2709</v>
      </c>
      <c r="M64" s="2528" t="e">
        <f>IF(N49&gt;2000,N49*0.5%,IF(AND(N49&gt;1000,N49&lt;=2000),N49*0.6%,IF(AND(N49&gt;500,N49&lt;=1000),N49*0.7%,IF(AND(N49&gt;200,N49&lt;=500),N49*0.8%,IF(AND(N49&gt;100,N49&lt;=200),N49*0.9%,IF(AND(N49&gt;50,N49&lt;=100),N49*1%,IF(AND(N49&gt;20,N49&lt;=50),N49*1.5%,IF(AND(N49&gt;10,N49&lt;=20),N49*2%,IF(AND(N49&gt;1,N49&lt;=10),N49*2.5%)))))))))</f>
        <v>#VALUE!</v>
      </c>
      <c r="N64" s="2529" t="e">
        <f t="shared" ref="N64:N65" si="2">ROUND(M64,1)</f>
        <v>#VALUE!</v>
      </c>
      <c r="O64" s="2527" t="s">
        <v>2710</v>
      </c>
      <c r="P64" s="2527"/>
      <c r="Q64" s="1278"/>
    </row>
    <row r="65" spans="1:36" ht="12.75">
      <c r="A65" s="49" t="s">
        <v>72</v>
      </c>
      <c r="B65" s="50" t="s">
        <v>1768</v>
      </c>
      <c r="C65" s="2758"/>
      <c r="D65" s="50"/>
      <c r="E65" s="52"/>
      <c r="F65" s="2953"/>
      <c r="G65" s="2953"/>
      <c r="H65" s="2955"/>
      <c r="I65" s="31"/>
      <c r="K65" s="3427"/>
      <c r="L65" s="2528" t="s">
        <v>2711</v>
      </c>
      <c r="M65" s="2528" t="e">
        <f>IF(N49&gt;1000,N49*0.1%,IF(AND(N49&gt;500,N49&lt;=1000),N49*0.5%,IF(AND(N49&gt;50,N49&lt;=500),N49*1%,IF(AND(N49&gt;1,N49&lt;=50),N49*1.5%))))</f>
        <v>#VALUE!</v>
      </c>
      <c r="N65" s="2529" t="e">
        <f t="shared" si="2"/>
        <v>#VALUE!</v>
      </c>
      <c r="O65" s="2527" t="s">
        <v>2710</v>
      </c>
      <c r="P65" s="2527"/>
      <c r="Q65" s="1278"/>
    </row>
    <row r="66" spans="1:36" ht="12.75">
      <c r="A66" s="53" t="s">
        <v>47</v>
      </c>
      <c r="B66" s="54" t="s">
        <v>1770</v>
      </c>
      <c r="C66" s="2759"/>
      <c r="D66" s="54" t="s">
        <v>41</v>
      </c>
      <c r="E66" s="1286" t="s">
        <v>1771</v>
      </c>
      <c r="F66" s="2953"/>
      <c r="G66" s="2953"/>
      <c r="H66" s="2955"/>
      <c r="I66" s="31"/>
      <c r="K66" s="3427"/>
      <c r="L66" s="2528" t="s">
        <v>2712</v>
      </c>
      <c r="M66" s="2528" t="e">
        <f>N49*0.5%</f>
        <v>#VALUE!</v>
      </c>
      <c r="N66" s="2529" t="e">
        <f>IF(M66&gt;0.5,0.5,ROUND(M66,0))</f>
        <v>#VALUE!</v>
      </c>
      <c r="O66" s="2527" t="s">
        <v>2713</v>
      </c>
      <c r="P66" s="2527"/>
      <c r="Q66" s="1278"/>
    </row>
    <row r="67" spans="1:36" ht="12.75">
      <c r="A67" s="53" t="s">
        <v>42</v>
      </c>
      <c r="B67" s="54" t="s">
        <v>1774</v>
      </c>
      <c r="C67" s="2760" t="e">
        <f ca="1">C63-C66</f>
        <v>#REF!</v>
      </c>
      <c r="D67" s="50" t="s">
        <v>41</v>
      </c>
      <c r="E67" s="52"/>
      <c r="F67" s="2953"/>
      <c r="G67" s="2953"/>
      <c r="H67" s="2955"/>
      <c r="I67" s="31"/>
      <c r="K67" s="3427"/>
      <c r="L67" s="2528" t="s">
        <v>2714</v>
      </c>
      <c r="M67" s="2528" t="e">
        <f>IF(N49&gt;=10000,(8.25+(N49-10000)*0.01%),IF(AND(N49&gt;=8000,N49&lt;10000),(7.85+(N49-8000)*0.02%),IF(AND(N49&gt;=5000,N49&lt;8000),(6.65+(N49-5000)*0.04%),IF(AND(N49&gt;=2000,N49&lt;5000),(4.25+(PN49-2000)*0.08%),IF(AND(N49&gt;=1000,N49&lt;2000),(2.75+(N49-1000)*0.15%),IF(AND(N49&gt;=100,N49&lt;1000),(0.5+(N49-100)*0.25%),IF(AND(N49&gt;0,N49&lt;100),N49*0.5%)))))))</f>
        <v>#VALUE!</v>
      </c>
      <c r="N67" s="2529" t="e">
        <f>ROUND(M67*0.9,1)</f>
        <v>#VALUE!</v>
      </c>
      <c r="O67" s="2527"/>
      <c r="P67" s="2527"/>
      <c r="Q67" s="1278"/>
    </row>
    <row r="68" spans="1:36" ht="13.5" thickBot="1">
      <c r="A68" s="55" t="s">
        <v>46</v>
      </c>
      <c r="B68" s="56" t="s">
        <v>1776</v>
      </c>
      <c r="C68" s="2761" t="e">
        <f ca="1">IF(C67&lt;=0,0,ROUND(C67*D68,0))</f>
        <v>#REF!</v>
      </c>
      <c r="D68" s="2212">
        <f>'数据-取费表'!E29</f>
        <v>5.6000000000000001E-2</v>
      </c>
      <c r="E68" s="57"/>
      <c r="F68" s="2953"/>
      <c r="G68" s="2953"/>
      <c r="H68" s="2955"/>
      <c r="I68" s="31"/>
      <c r="K68" s="3427"/>
      <c r="L68" s="2528" t="s">
        <v>2715</v>
      </c>
      <c r="M68" s="2528" t="e">
        <f>IF(N49&gt;10000,N49*0.5%,IF(AND(N49&gt;5000,N49&lt;=10000),N49*1%,IF(AND(N49&gt;1000,N49&lt;=5000),N49*2%,IF(AND(N49&gt;200,N49&lt;=1000),N49*3%,N49*5%))))</f>
        <v>#VALUE!</v>
      </c>
      <c r="N68" s="2529" t="e">
        <f>ROUND(M68,1)</f>
        <v>#VALUE!</v>
      </c>
      <c r="O68" s="2527"/>
      <c r="P68" s="2527"/>
      <c r="Q68" s="1278"/>
    </row>
    <row r="69" spans="1:36" s="1435" customFormat="1" ht="7.5" customHeight="1">
      <c r="A69" s="1447"/>
      <c r="B69" s="1448"/>
      <c r="C69" s="1449"/>
      <c r="D69" s="1450"/>
      <c r="E69" s="1451"/>
      <c r="F69" s="812"/>
      <c r="G69" s="812"/>
      <c r="H69" s="1440"/>
      <c r="I69" s="1431"/>
      <c r="J69" s="2813"/>
      <c r="K69" s="3427"/>
      <c r="L69" s="2528" t="s">
        <v>54</v>
      </c>
      <c r="M69" s="2528"/>
      <c r="N69" s="2529" t="e">
        <f>ROUND(SUM(N63:N68),0)</f>
        <v>#VALUE!</v>
      </c>
      <c r="O69" s="2530" t="e">
        <f>N69/N49</f>
        <v>#VALUE!</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48" t="s">
        <v>1779</v>
      </c>
      <c r="B70" s="3449"/>
      <c r="C70" s="3449"/>
      <c r="D70" s="3449"/>
      <c r="E70" s="3449"/>
      <c r="F70" s="3449"/>
      <c r="G70" s="3449"/>
      <c r="H70" s="3449"/>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46" t="s">
        <v>1759</v>
      </c>
      <c r="B71" s="3447"/>
      <c r="C71" s="1577"/>
      <c r="D71" s="1577" t="s">
        <v>1760</v>
      </c>
      <c r="E71" s="58" t="s">
        <v>1761</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1780</v>
      </c>
      <c r="C72" s="2760" t="e">
        <f ca="1">ROUND(D45/(1+'数据-取费表'!F30),0)</f>
        <v>#REF!</v>
      </c>
      <c r="D72" s="50" t="s">
        <v>41</v>
      </c>
      <c r="E72" s="12" t="s">
        <v>1781</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1782</v>
      </c>
      <c r="C73" s="2760" t="e">
        <f ca="1">C74+C78</f>
        <v>#REF!</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1783</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1784</v>
      </c>
      <c r="C75" s="2238"/>
      <c r="D75" s="50" t="s">
        <v>41</v>
      </c>
      <c r="E75" s="64" t="s">
        <v>1785</v>
      </c>
      <c r="F75" s="2764" t="s">
        <v>1786</v>
      </c>
      <c r="G75" s="64" t="s">
        <v>1787</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1788</v>
      </c>
      <c r="C76" s="50">
        <f>IF(F75="购房发票",ROUND(C75*H75*D76,0),0)</f>
        <v>0</v>
      </c>
      <c r="D76" s="2766">
        <v>0.05</v>
      </c>
      <c r="E76" s="3479" t="s">
        <v>1789</v>
      </c>
      <c r="F76" s="3467"/>
      <c r="G76" s="3467"/>
      <c r="H76" s="3480"/>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1790</v>
      </c>
      <c r="C77" s="50">
        <f>ROUND(IF(G77="个人住宅",0,IF(G77="2016年5月1日前购买",C75*D77,C75*D77/(1+'数据-取费表'!F30))),0)</f>
        <v>0</v>
      </c>
      <c r="D77" s="2767">
        <f>'数据-取费表'!E36+'数据-取费表'!E37</f>
        <v>3.0499999999999999E-2</v>
      </c>
      <c r="E77" s="12" t="s">
        <v>1791</v>
      </c>
      <c r="F77" s="2065"/>
      <c r="G77" s="1456" t="s">
        <v>1792</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1793</v>
      </c>
      <c r="C78" s="2768" t="e">
        <f ca="1">ROUND(D45*D78/(1+'数据-取费表'!F30),0)</f>
        <v>#REF!</v>
      </c>
      <c r="D78" s="2769">
        <f>'数据-取费表'!E31</f>
        <v>6.000000000000001E-3</v>
      </c>
      <c r="E78" s="3415" t="s">
        <v>1794</v>
      </c>
      <c r="F78" s="3416"/>
      <c r="G78" s="3416"/>
      <c r="H78" s="3436"/>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1795</v>
      </c>
      <c r="C79" s="2760" t="e">
        <f ca="1">C72-C73</f>
        <v>#REF!</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1796</v>
      </c>
      <c r="C80" s="2770" t="e">
        <f ca="1">IF(C79&lt;=0,0,C79/C73)</f>
        <v>#REF!</v>
      </c>
      <c r="D80" s="50" t="s">
        <v>41</v>
      </c>
      <c r="E80" s="12" t="e">
        <f ca="1">IF(C80&gt;=200%,"增值额超过扣除项目金额200%",IF(C80&gt;=100%,"增值额超过扣除项目金额100%，未超过200%",IF(C80&gt;=50%,"增值额超过扣除项目金额50%，未超过100%",IF(C80&lt;50%,"增值额未超过扣除项目金额50%"))))</f>
        <v>#REF!</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1797</v>
      </c>
      <c r="C81" s="2771" t="e">
        <f ca="1">ROUND(IF(C79&lt;=0,0,IF(C80&gt;=200%,C79*60%-C73*35%,IF(C80&gt;=100%,C79*50%-C73*15%,IF(C80&gt;=50%,C79*40%-C73*5%,IF(C80&lt;50%,C79*30%,0))))),0)</f>
        <v>#REF!</v>
      </c>
      <c r="D81" s="2142" t="s">
        <v>41</v>
      </c>
      <c r="E81" s="6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48" t="s">
        <v>1798</v>
      </c>
      <c r="B83" s="3449"/>
      <c r="C83" s="3449"/>
      <c r="D83" s="3449"/>
      <c r="E83" s="3449"/>
      <c r="F83" s="3449"/>
      <c r="G83" s="3449"/>
      <c r="H83" s="3449"/>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46" t="s">
        <v>1759</v>
      </c>
      <c r="B84" s="3447"/>
      <c r="C84" s="1577"/>
      <c r="D84" s="1577" t="s">
        <v>1760</v>
      </c>
      <c r="E84" s="58" t="s">
        <v>1761</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1780</v>
      </c>
      <c r="C85" s="2760" t="e">
        <f ca="1">ROUND(D45/(1+'数据-取费表'!F30),0)</f>
        <v>#REF!</v>
      </c>
      <c r="D85" s="50" t="s">
        <v>41</v>
      </c>
      <c r="E85" s="2058" t="s">
        <v>1781</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1782</v>
      </c>
      <c r="C86" s="2760" t="e">
        <f ca="1">IF(H88="仅含出让金",C87+C90+C91+C92+C93+C94,C87+C91+C92+C93+C94)</f>
        <v>#REF!</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1799</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1800</v>
      </c>
      <c r="C88" s="2773"/>
      <c r="D88" s="2769"/>
      <c r="E88" s="74" t="s">
        <v>1801</v>
      </c>
      <c r="F88" s="2056"/>
      <c r="G88" s="75" t="s">
        <v>1802</v>
      </c>
      <c r="H88" s="1458"/>
      <c r="I88" s="9"/>
      <c r="J88" s="2828"/>
      <c r="K88" s="2944" t="s">
        <v>2761</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1790</v>
      </c>
      <c r="C89" s="2768">
        <f>ROUND(C88*D89,0)</f>
        <v>0</v>
      </c>
      <c r="D89" s="2769">
        <f>'数据-取费表'!E36+'数据-取费表'!E37</f>
        <v>3.0499999999999999E-2</v>
      </c>
      <c r="E89" s="74" t="s">
        <v>1803</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1804</v>
      </c>
      <c r="C90" s="2773"/>
      <c r="D90" s="2769"/>
      <c r="E90" s="74" t="str">
        <f>IF(H88="-","土地取得成本中已包含该笔费用"," ")</f>
        <v xml:space="preserve"> </v>
      </c>
      <c r="F90" s="2056"/>
      <c r="G90" s="3455" t="s">
        <v>2677</v>
      </c>
      <c r="H90" s="3455"/>
      <c r="I90" s="9"/>
      <c r="J90" s="2828"/>
      <c r="K90" s="2944" t="s">
        <v>2762</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1805</v>
      </c>
      <c r="C91" s="2768">
        <f>IF(H91="——",成本法!C33,I91)</f>
        <v>0</v>
      </c>
      <c r="D91" s="2769"/>
      <c r="E91" s="3415" t="s">
        <v>1806</v>
      </c>
      <c r="F91" s="3416"/>
      <c r="G91" s="3416"/>
      <c r="H91" s="1459" t="s">
        <v>1807</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1808</v>
      </c>
      <c r="C92" s="2768">
        <f>ROUND((C87+C90+C91)*D92,0)</f>
        <v>0</v>
      </c>
      <c r="D92" s="2812">
        <v>0.1</v>
      </c>
      <c r="E92" s="3415" t="s">
        <v>1809</v>
      </c>
      <c r="F92" s="3416"/>
      <c r="G92" s="3416"/>
      <c r="H92" s="3436"/>
      <c r="I92" s="9"/>
      <c r="J92" s="2828"/>
      <c r="K92" s="2945" t="s">
        <v>2763</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1793</v>
      </c>
      <c r="C93" s="2768" t="e">
        <f ca="1">ROUND(D45*D93/(1+'数据-取费表'!F30),0)</f>
        <v>#REF!</v>
      </c>
      <c r="D93" s="2769">
        <f>'数据-取费表'!E31</f>
        <v>6.000000000000001E-3</v>
      </c>
      <c r="E93" s="3415" t="s">
        <v>1794</v>
      </c>
      <c r="F93" s="3416"/>
      <c r="G93" s="3416"/>
      <c r="H93" s="3436"/>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1810</v>
      </c>
      <c r="C94" s="2768">
        <f>ROUND((C87+C90+C91)*D94,0)</f>
        <v>0</v>
      </c>
      <c r="D94" s="2769">
        <v>0.2</v>
      </c>
      <c r="E94" s="3415" t="s">
        <v>1811</v>
      </c>
      <c r="F94" s="3416"/>
      <c r="G94" s="3416"/>
      <c r="H94" s="3436"/>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1795</v>
      </c>
      <c r="C95" s="2760" t="e">
        <f ca="1">ROUND(C85-C86,0)</f>
        <v>#REF!</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1796</v>
      </c>
      <c r="C96" s="2770" t="e">
        <f ca="1">IF(C95&lt;=0,0,C95/C86)</f>
        <v>#REF!</v>
      </c>
      <c r="D96" s="50" t="s">
        <v>41</v>
      </c>
      <c r="E96" s="12" t="e">
        <f ca="1">IF(C96&gt;=200%,"增值额超过扣除项目金额200%",IF(C96&gt;=100%,"增值额超过扣除项目金额100%，未超过200%",IF(C96&gt;=50%,"增值额超过扣除项目金额50%，未超过100%",IF(C96&lt;50%,"增值额未超过扣除项目金额50%"))))</f>
        <v>#REF!</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1797</v>
      </c>
      <c r="C97" s="2771" t="e">
        <f ca="1">ROUND(IF(C95&lt;=0,0,IF(C96&gt;=200%,C95*60%-C86*35%,IF(C96&gt;=100%,C95*50%-C86*15%,IF(C96&gt;=50%,C95*40%-C86*5%,IF(C96&lt;50%,C95*30%,0))))),0)</f>
        <v>#REF!</v>
      </c>
      <c r="D97" s="2142" t="s">
        <v>41</v>
      </c>
      <c r="E97" s="6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1812</v>
      </c>
      <c r="B98" s="1431"/>
      <c r="C98" s="1431"/>
      <c r="D98" s="1431"/>
      <c r="E98" s="812"/>
      <c r="F98" s="812"/>
      <c r="G98" s="812"/>
      <c r="H98" s="1440"/>
      <c r="I98" s="1431"/>
    </row>
    <row r="99" spans="1:36" ht="15.75">
      <c r="A99" s="3433" t="s">
        <v>1813</v>
      </c>
      <c r="B99" s="3434"/>
      <c r="C99" s="3434"/>
      <c r="D99" s="3435"/>
      <c r="E99" s="1431"/>
      <c r="F99" s="3443" t="s">
        <v>1814</v>
      </c>
      <c r="G99" s="3444"/>
      <c r="H99" s="3444"/>
      <c r="I99" s="3445"/>
      <c r="J99" s="2831"/>
    </row>
    <row r="100" spans="1:36" ht="15">
      <c r="A100" s="3450" t="s">
        <v>1815</v>
      </c>
      <c r="B100" s="3451"/>
      <c r="C100" s="1277">
        <f>C4</f>
        <v>0</v>
      </c>
      <c r="D100" s="2779">
        <f>D4</f>
        <v>0</v>
      </c>
      <c r="E100" s="1431"/>
      <c r="F100" s="3452" t="s">
        <v>2721</v>
      </c>
      <c r="G100" s="3454"/>
      <c r="H100" s="3452" t="s">
        <v>2722</v>
      </c>
      <c r="I100" s="3453"/>
      <c r="J100" s="2832"/>
    </row>
    <row r="101" spans="1:36" ht="12.75">
      <c r="A101" s="3469" t="s">
        <v>2754</v>
      </c>
      <c r="B101" s="2277" t="str">
        <f>IF(H19="元","总价（元）","总价（万元）")</f>
        <v>总价（万元）</v>
      </c>
      <c r="C101" s="1277" t="e">
        <f ca="1">C19</f>
        <v>#REF!</v>
      </c>
      <c r="D101" s="2779" t="e">
        <f ca="1">D19</f>
        <v>#REF!</v>
      </c>
      <c r="E101" s="1431"/>
      <c r="F101" s="3452" t="str">
        <f>项目基本情况!I1</f>
        <v>北京市房地产</v>
      </c>
      <c r="G101" s="3454"/>
      <c r="H101" s="3456">
        <f>项目基本情况!C12</f>
        <v>134.43</v>
      </c>
      <c r="I101" s="3453"/>
      <c r="J101" s="2832"/>
    </row>
    <row r="102" spans="1:36" ht="12.75">
      <c r="A102" s="3469"/>
      <c r="B102" s="2277" t="s">
        <v>2755</v>
      </c>
      <c r="C102" s="2780" t="e">
        <f ca="1">C20</f>
        <v>#REF!</v>
      </c>
      <c r="D102" s="2781" t="e">
        <f ca="1">D20</f>
        <v>#REF!</v>
      </c>
      <c r="E102" s="1431"/>
      <c r="F102" s="3439" t="s">
        <v>2751</v>
      </c>
      <c r="G102" s="3440"/>
      <c r="H102" s="2789" t="str">
        <f>C106</f>
        <v>总价（万元）</v>
      </c>
      <c r="I102" s="2790" t="e">
        <f ca="1">H121</f>
        <v>#REF!</v>
      </c>
      <c r="J102" s="2832"/>
    </row>
    <row r="103" spans="1:36" ht="12.75">
      <c r="A103" s="3469" t="s">
        <v>2756</v>
      </c>
      <c r="B103" s="2215" t="str">
        <f>B101</f>
        <v>总价（万元）</v>
      </c>
      <c r="C103" s="2784" t="e">
        <f ca="1">H121</f>
        <v>#REF!</v>
      </c>
      <c r="D103" s="2782"/>
      <c r="E103" s="1431"/>
      <c r="F103" s="3439"/>
      <c r="G103" s="3440"/>
      <c r="H103" s="2789" t="s">
        <v>2724</v>
      </c>
      <c r="I103" s="52" t="e">
        <f ca="1">I121</f>
        <v>#REF!</v>
      </c>
      <c r="J103" s="2816"/>
    </row>
    <row r="104" spans="1:36" ht="13.5" thickBot="1">
      <c r="A104" s="3470"/>
      <c r="B104" s="2786" t="s">
        <v>2755</v>
      </c>
      <c r="C104" s="2787" t="e">
        <f ca="1">I121</f>
        <v>#REF!</v>
      </c>
      <c r="D104" s="2788"/>
      <c r="E104" s="1431"/>
      <c r="F104" s="3439"/>
      <c r="G104" s="3440"/>
      <c r="H104" s="3471"/>
      <c r="I104" s="3472"/>
      <c r="J104" s="2833"/>
    </row>
    <row r="105" spans="1:36" ht="15">
      <c r="A105" s="3433" t="s">
        <v>1816</v>
      </c>
      <c r="B105" s="3434"/>
      <c r="C105" s="3434"/>
      <c r="D105" s="3435"/>
      <c r="E105" s="1431"/>
      <c r="F105" s="3475" t="s">
        <v>2725</v>
      </c>
      <c r="G105" s="3476"/>
      <c r="H105" s="2791" t="str">
        <f>C108</f>
        <v>总额（万元）</v>
      </c>
      <c r="I105" s="2790">
        <f>SUMIF(I106:I108,"&lt;9E307")</f>
        <v>0</v>
      </c>
      <c r="J105" s="2832"/>
    </row>
    <row r="106" spans="1:36" ht="14.25">
      <c r="A106" s="3439" t="s">
        <v>2748</v>
      </c>
      <c r="B106" s="3440"/>
      <c r="C106" s="2789" t="str">
        <f>B101</f>
        <v>总价（万元）</v>
      </c>
      <c r="D106" s="2790" t="e">
        <f ca="1">H121</f>
        <v>#REF!</v>
      </c>
      <c r="E106" s="1431"/>
      <c r="F106" s="3441" t="s">
        <v>2726</v>
      </c>
      <c r="G106" s="3442"/>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39"/>
      <c r="B107" s="3440"/>
      <c r="C107" s="2789" t="s">
        <v>2749</v>
      </c>
      <c r="D107" s="52" t="e">
        <f ca="1">I121</f>
        <v>#REF!</v>
      </c>
      <c r="E107" s="1431"/>
      <c r="F107" s="3441" t="s">
        <v>2727</v>
      </c>
      <c r="G107" s="3442"/>
      <c r="H107" s="2791" t="str">
        <f>C110</f>
        <v>总额（万元）</v>
      </c>
      <c r="I107" s="52">
        <f>C37</f>
        <v>0</v>
      </c>
      <c r="J107" s="2816"/>
    </row>
    <row r="108" spans="1:36" ht="12.75">
      <c r="A108" s="3510" t="s">
        <v>2725</v>
      </c>
      <c r="B108" s="3511"/>
      <c r="C108" s="2791" t="str">
        <f>IF(H19="元","总额（元）","总额（万元）")</f>
        <v>总额（万元）</v>
      </c>
      <c r="D108" s="2790">
        <f>IF(D36="正常操作",I106+I107+I108,I107+I108)</f>
        <v>0</v>
      </c>
      <c r="E108" s="1431"/>
      <c r="F108" s="3441" t="s">
        <v>2752</v>
      </c>
      <c r="G108" s="3442"/>
      <c r="H108" s="2791" t="str">
        <f>C111</f>
        <v>总额（万元）</v>
      </c>
      <c r="I108" s="52">
        <f>C38</f>
        <v>0</v>
      </c>
      <c r="J108" s="2816"/>
    </row>
    <row r="109" spans="1:36" ht="12.75">
      <c r="A109" s="3441" t="s">
        <v>2726</v>
      </c>
      <c r="B109" s="3442"/>
      <c r="C109" s="2791" t="str">
        <f>C108</f>
        <v>总额（万元）</v>
      </c>
      <c r="D109" s="52">
        <f>IF(D36="同一抵押权人同一抵押物续贷",C36&amp;"（未扣减，详见特别提示）",C36)</f>
        <v>0</v>
      </c>
      <c r="E109" s="1431"/>
      <c r="F109" s="3439"/>
      <c r="G109" s="3440"/>
      <c r="H109" s="3473"/>
      <c r="I109" s="3474"/>
      <c r="J109" s="2834"/>
    </row>
    <row r="110" spans="1:36" ht="28.5" customHeight="1">
      <c r="A110" s="3441" t="s">
        <v>2750</v>
      </c>
      <c r="B110" s="3442"/>
      <c r="C110" s="2791" t="str">
        <f>C108</f>
        <v>总额（万元）</v>
      </c>
      <c r="D110" s="52">
        <f>C37</f>
        <v>0</v>
      </c>
      <c r="E110" s="1431"/>
      <c r="F110" s="3422" t="str">
        <f>IF(项目基本情况!F5="已注销","——","3.房地产抵押价值")</f>
        <v>3.房地产抵押价值</v>
      </c>
      <c r="G110" s="3423"/>
      <c r="H110" s="2777" t="str">
        <f>C112</f>
        <v>总价（万元）</v>
      </c>
      <c r="I110" s="2790" t="e">
        <f ca="1">IF(F110="——","——",I102-I105)</f>
        <v>#REF!</v>
      </c>
      <c r="J110" s="2832"/>
    </row>
    <row r="111" spans="1:36" ht="12.75">
      <c r="A111" s="3441" t="s">
        <v>2729</v>
      </c>
      <c r="B111" s="3442"/>
      <c r="C111" s="2791" t="str">
        <f>C108</f>
        <v>总额（万元）</v>
      </c>
      <c r="D111" s="52">
        <f>C38</f>
        <v>0</v>
      </c>
      <c r="E111" s="1431"/>
      <c r="F111" s="3424"/>
      <c r="G111" s="3425"/>
      <c r="H111" s="2789" t="s">
        <v>2724</v>
      </c>
      <c r="I111" s="2793" t="e">
        <f ca="1">D113</f>
        <v>#REF!</v>
      </c>
      <c r="J111" s="2835"/>
    </row>
    <row r="112" spans="1:36" ht="26.25" customHeight="1">
      <c r="A112" s="3439" t="str">
        <f>IF(项目基本情况!F5="已注销","——","3.房地产抵押价值")</f>
        <v>3.房地产抵押价值</v>
      </c>
      <c r="B112" s="3440"/>
      <c r="C112" s="2789" t="str">
        <f>B101</f>
        <v>总价（万元）</v>
      </c>
      <c r="D112" s="2790" t="e">
        <f ca="1">IF(A112="——","——",D106-D108)</f>
        <v>#REF!</v>
      </c>
      <c r="E112" s="1431"/>
      <c r="F112" s="3422" t="str">
        <f>IF(项目基本情况!F5="已注销及未注销","4.抵押担保权已注销时的房地产抵押价值",IF(项目基本情况!F5="已注销","3.抵押担保权已注销时的房地产抵押价值","——"))</f>
        <v>——</v>
      </c>
      <c r="G112" s="3423"/>
      <c r="H112" s="2777" t="str">
        <f>C114</f>
        <v>总价（万元）</v>
      </c>
      <c r="I112" s="2790" t="str">
        <f>IF(F112="——","——",I102-I107-I108)</f>
        <v>——</v>
      </c>
      <c r="J112" s="2832"/>
    </row>
    <row r="113" spans="1:16" ht="12.75">
      <c r="A113" s="3439"/>
      <c r="B113" s="3440"/>
      <c r="C113" s="2789" t="s">
        <v>2717</v>
      </c>
      <c r="D113" s="52" t="e">
        <f ca="1">ROUND(IF(D112=D106,D107,IF(H19="元",D112/项目基本情况!C12,D112*10000/项目基本情况!C12)),0)</f>
        <v>#REF!</v>
      </c>
      <c r="E113" s="1431"/>
      <c r="F113" s="3424"/>
      <c r="G113" s="3425"/>
      <c r="H113" s="2789" t="s">
        <v>2753</v>
      </c>
      <c r="I113" s="52" t="str">
        <f>D115</f>
        <v>——</v>
      </c>
      <c r="J113" s="2816"/>
    </row>
    <row r="114" spans="1:16" ht="12.75">
      <c r="A114" s="3439" t="str">
        <f>IF(项目基本情况!F5="已注销及未注销","4.抵押担保权已注销时的房地产抵押价值",IF(项目基本情况!F5="已注销","3.抵押担保权已注销时的房地产抵押价值","——"))</f>
        <v>——</v>
      </c>
      <c r="B114" s="3440"/>
      <c r="C114" s="2789" t="str">
        <f>B101</f>
        <v>总价（万元）</v>
      </c>
      <c r="D114" s="2790" t="str">
        <f>IF(A114="——","——",D106-D110-D111)</f>
        <v>——</v>
      </c>
      <c r="E114" s="1431"/>
      <c r="F114" s="3422" t="str">
        <f>IF(项目基本情况!G5="抵押净值",IF(OR(项目基本情况!F5="已注销",项目基本情况!F5="房地产抵押价值"),"4.抵押净值","5.抵押净值"),"——")</f>
        <v>——</v>
      </c>
      <c r="G114" s="3423"/>
      <c r="H114" s="2789" t="str">
        <f>C116</f>
        <v>总价（万元）</v>
      </c>
      <c r="I114" s="2790" t="str">
        <f>IF(F114="——","——",O59)</f>
        <v>——</v>
      </c>
      <c r="J114" s="2832"/>
    </row>
    <row r="115" spans="1:16" ht="13.5" thickBot="1">
      <c r="A115" s="3439"/>
      <c r="B115" s="3440"/>
      <c r="C115" s="2789" t="s">
        <v>2717</v>
      </c>
      <c r="D115" s="52" t="str">
        <f>IF(A114="——","——",ROUND(IF(D114=D106,D107,IF(H19="元",D114/项目基本情况!C12,D114*10000/项目基本情况!C12)),0))</f>
        <v>——</v>
      </c>
      <c r="E115" s="1431"/>
      <c r="F115" s="3502"/>
      <c r="G115" s="3503"/>
      <c r="H115" s="2794" t="s">
        <v>2717</v>
      </c>
      <c r="I115" s="2778" t="e">
        <f ca="1">D117</f>
        <v>#REF!</v>
      </c>
      <c r="J115" s="2816"/>
    </row>
    <row r="116" spans="1:16" ht="15.75">
      <c r="A116" s="3439" t="str">
        <f>IF(项目基本情况!G5="抵押净值",IF(OR(项目基本情况!F5="已注销",项目基本情况!F5="房地产抵押价值"),"4.抵押净值","5.抵押净值"),"——")</f>
        <v>——</v>
      </c>
      <c r="B116" s="3440"/>
      <c r="C116" s="2789" t="str">
        <f>B101</f>
        <v>总价（万元）</v>
      </c>
      <c r="D116" s="2790" t="str">
        <f>IF(A116="——","——",O59)</f>
        <v>——</v>
      </c>
      <c r="E116" s="1431"/>
      <c r="F116" s="3417"/>
      <c r="G116" s="3417"/>
      <c r="H116" s="3458"/>
      <c r="I116" s="3458"/>
      <c r="J116" s="2836"/>
      <c r="O116" s="32"/>
      <c r="P116" s="32"/>
    </row>
    <row r="117" spans="1:16" ht="13.5" thickBot="1">
      <c r="A117" s="3508"/>
      <c r="B117" s="3509"/>
      <c r="C117" s="2794" t="s">
        <v>2717</v>
      </c>
      <c r="D117" s="2778" t="e">
        <f ca="1">IF(D116=D112,D113,IF(A116="——","——",O61))</f>
        <v>#REF!</v>
      </c>
      <c r="E117" s="1431"/>
      <c r="F117" s="3501" t="str">
        <f>IF(B32="总价","（以上估价结果中单价为总价除以建筑面积得出）","（以上估价结果中总价为楼面单价乘以建筑面积得出）")</f>
        <v>（以上估价结果中总价为楼面单价乘以建筑面积得出）</v>
      </c>
      <c r="G117" s="3501"/>
      <c r="H117" s="3501"/>
      <c r="I117" s="3501"/>
      <c r="J117" s="2837"/>
      <c r="O117" s="32"/>
      <c r="P117" s="32"/>
    </row>
    <row r="118" spans="1:16" ht="15">
      <c r="A118" s="3459" t="s">
        <v>1817</v>
      </c>
      <c r="B118" s="3460"/>
      <c r="C118" s="3460"/>
      <c r="D118" s="3460"/>
      <c r="E118" s="3460"/>
      <c r="F118" s="3460"/>
      <c r="G118" s="3460"/>
      <c r="H118" s="3460"/>
      <c r="I118" s="3460"/>
      <c r="J118" s="2838"/>
    </row>
    <row r="119" spans="1:16" ht="12.75">
      <c r="A119" s="3432" t="s">
        <v>2735</v>
      </c>
      <c r="B119" s="3430" t="s">
        <v>2745</v>
      </c>
      <c r="C119" s="3430" t="s">
        <v>2746</v>
      </c>
      <c r="D119" s="3437" t="s">
        <v>2737</v>
      </c>
      <c r="E119" s="3438"/>
      <c r="F119" s="3428" t="s">
        <v>2747</v>
      </c>
      <c r="G119" s="3428"/>
      <c r="H119" s="3428" t="s">
        <v>2738</v>
      </c>
      <c r="I119" s="3429"/>
      <c r="J119" s="2816"/>
    </row>
    <row r="120" spans="1:16" ht="12.75">
      <c r="A120" s="3432"/>
      <c r="B120" s="3431"/>
      <c r="C120" s="3431"/>
      <c r="D120" s="2062" t="s">
        <v>2739</v>
      </c>
      <c r="E120" s="2062" t="s">
        <v>2744</v>
      </c>
      <c r="F120" s="2062" t="s">
        <v>2739</v>
      </c>
      <c r="G120" s="2062" t="s">
        <v>2740</v>
      </c>
      <c r="H120" s="2062" t="s">
        <v>2739</v>
      </c>
      <c r="I120" s="52" t="s">
        <v>2740</v>
      </c>
      <c r="J120" s="2816"/>
    </row>
    <row r="121" spans="1:16" ht="12.75">
      <c r="A121" s="2052" t="str">
        <f>项目基本情况!I1</f>
        <v>北京市房地产</v>
      </c>
      <c r="B121" s="2062">
        <f>项目基本情况!C12</f>
        <v>134.43</v>
      </c>
      <c r="C121" s="2062">
        <f>项目基本情况!C13</f>
        <v>0</v>
      </c>
      <c r="D121" s="2062" t="e">
        <f ca="1">ROUND(IF(B32="总价",C34,IF('数据-取费表'!B3="万元",E121*B121/10000,E121*B121)),0)</f>
        <v>#REF!</v>
      </c>
      <c r="E121" s="2062" t="e">
        <f ca="1">ROUND(IF(B32="楼面单价",C34,IF(H19="元",D121/B121,D121*10000/B121)),0)</f>
        <v>#REF!</v>
      </c>
      <c r="F121" s="2062" t="e">
        <f ca="1">ROUND(IF(B32="总价",C35,IF('数据-取费表'!B3="万元",G121*B121/10000,G121*B121)),0)</f>
        <v>#REF!</v>
      </c>
      <c r="G121" s="2062" t="e">
        <f ca="1">ROUND(IF(B32="楼面单价",C35,IF(H19="元",F121/B121,F121*10000/B121)),0)</f>
        <v>#REF!</v>
      </c>
      <c r="H121" s="2062" t="e">
        <f ca="1">ROUND(IF(B32="总价",C32,IF('数据-取费表'!B3="万元",I121*B121/10000,I121*B121)),0)</f>
        <v>#REF!</v>
      </c>
      <c r="I121" s="52" t="e">
        <f ca="1">ROUND(IF(B32="楼面单价",C32,IF(H19="元",H121/B121,H121*10000/B121)),0)</f>
        <v>#REF!</v>
      </c>
      <c r="J121" s="2816"/>
    </row>
    <row r="122" spans="1:16" ht="12.75">
      <c r="A122" s="3432" t="s">
        <v>2741</v>
      </c>
      <c r="B122" s="3428"/>
      <c r="C122" s="3428"/>
      <c r="D122" s="3463" t="e">
        <f ca="1">IF(H19="元",NUMBERSTRING(INT(D121),2)&amp;"元整",NUMBERSTRING(INT(D121*10000),2)&amp;"元整")</f>
        <v>#REF!</v>
      </c>
      <c r="E122" s="3464"/>
      <c r="F122" s="3463" t="e">
        <f ca="1">IF(H19="元",NUMBERSTRING(INT(F121),2)&amp;"元整",NUMBERSTRING(INT(F121*10000),2)&amp;"元整")</f>
        <v>#REF!</v>
      </c>
      <c r="G122" s="3464"/>
      <c r="H122" s="3463" t="e">
        <f ca="1">IF(H19="元",NUMBERSTRING(INT(H121),2)&amp;"元整",NUMBERSTRING(INT(H121*10000),2)&amp;"元整")</f>
        <v>#REF!</v>
      </c>
      <c r="I122" s="3512"/>
      <c r="J122" s="2839"/>
    </row>
    <row r="123" spans="1:16" ht="12.75">
      <c r="A123" s="3452" t="str">
        <f>IF(项目基本情况!D5="房地产市场价值","——",MID(A108,3,LEN(A108)-2))</f>
        <v>估价师所知悉的法定优先受偿款</v>
      </c>
      <c r="B123" s="3465"/>
      <c r="C123" s="3454"/>
      <c r="D123" s="3456">
        <f>I105</f>
        <v>0</v>
      </c>
      <c r="E123" s="3465"/>
      <c r="F123" s="3465"/>
      <c r="G123" s="3465"/>
      <c r="H123" s="3465"/>
      <c r="I123" s="3453"/>
      <c r="J123" s="2832"/>
    </row>
    <row r="124" spans="1:16" ht="12.75">
      <c r="A124" s="3466" t="s">
        <v>2741</v>
      </c>
      <c r="B124" s="3467"/>
      <c r="C124" s="3468"/>
      <c r="D124" s="3504">
        <f>H109</f>
        <v>0</v>
      </c>
      <c r="E124" s="3505"/>
      <c r="F124" s="3505"/>
      <c r="G124" s="3505"/>
      <c r="H124" s="3505"/>
      <c r="I124" s="3506"/>
      <c r="J124" s="2840"/>
    </row>
    <row r="125" spans="1:16" ht="12.75">
      <c r="A125" s="3439" t="str">
        <f>IF(项目基本情况!D5="房地产市场价值","——",MID(A112,3,LEN(A112)-2))</f>
        <v>房地产抵押价值</v>
      </c>
      <c r="B125" s="3440"/>
      <c r="C125" s="3440"/>
      <c r="D125" s="3456" t="e">
        <f ca="1">I110</f>
        <v>#REF!</v>
      </c>
      <c r="E125" s="3465"/>
      <c r="F125" s="3465"/>
      <c r="G125" s="3465"/>
      <c r="H125" s="3465"/>
      <c r="I125" s="3453"/>
      <c r="J125" s="2832"/>
    </row>
    <row r="126" spans="1:16" ht="12.75">
      <c r="A126" s="3432" t="s">
        <v>2741</v>
      </c>
      <c r="B126" s="3428"/>
      <c r="C126" s="3428"/>
      <c r="D126" s="3504" t="e">
        <f ca="1">I111</f>
        <v>#REF!</v>
      </c>
      <c r="E126" s="3505"/>
      <c r="F126" s="3505"/>
      <c r="G126" s="3505"/>
      <c r="H126" s="3505"/>
      <c r="I126" s="3506"/>
      <c r="J126" s="2840"/>
    </row>
    <row r="127" spans="1:16" ht="13.5" thickBot="1">
      <c r="A127" s="3439" t="str">
        <f>IF(项目基本情况!D5="房地产市场价值","——",MID(A114,3,LEN(A114)-2))</f>
        <v/>
      </c>
      <c r="B127" s="3440"/>
      <c r="C127" s="3440"/>
      <c r="D127" s="3412" t="str">
        <f>I112</f>
        <v>——</v>
      </c>
      <c r="E127" s="3413"/>
      <c r="F127" s="3413"/>
      <c r="G127" s="3413"/>
      <c r="H127" s="3413"/>
      <c r="I127" s="3414"/>
      <c r="J127" s="2832"/>
    </row>
    <row r="128" spans="1:16" ht="14.25" thickTop="1" thickBot="1">
      <c r="A128" s="3432" t="s">
        <v>2741</v>
      </c>
      <c r="B128" s="3428"/>
      <c r="C128" s="3479"/>
      <c r="D128" s="3457" t="str">
        <f>I113</f>
        <v>——</v>
      </c>
      <c r="E128" s="3457"/>
      <c r="F128" s="3457"/>
      <c r="G128" s="3457"/>
      <c r="H128" s="3457"/>
      <c r="I128" s="3457"/>
      <c r="J128" s="2840"/>
    </row>
    <row r="129" spans="1:10" ht="14.25" thickTop="1" thickBot="1">
      <c r="A129" s="3439" t="str">
        <f>IF(项目基本情况!D5="房地产市场价值","——",MID(F114,3,LEN(F114)-2))</f>
        <v/>
      </c>
      <c r="B129" s="3440"/>
      <c r="C129" s="3456"/>
      <c r="D129" s="3507" t="str">
        <f>I114</f>
        <v>——</v>
      </c>
      <c r="E129" s="3507"/>
      <c r="F129" s="3507"/>
      <c r="G129" s="3507"/>
      <c r="H129" s="3507"/>
      <c r="I129" s="3507"/>
      <c r="J129" s="2832"/>
    </row>
    <row r="130" spans="1:10" ht="14.25" thickTop="1" thickBot="1">
      <c r="A130" s="3495" t="s">
        <v>2741</v>
      </c>
      <c r="B130" s="3496"/>
      <c r="C130" s="3496"/>
      <c r="D130" s="3513">
        <f>H116</f>
        <v>0</v>
      </c>
      <c r="E130" s="3514"/>
      <c r="F130" s="3514"/>
      <c r="G130" s="3514"/>
      <c r="H130" s="3514"/>
      <c r="I130" s="3515"/>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500" t="str">
        <f>IF(B32="总价","（以上估价结果中楼面单价为总价除以建筑面积得出）","（以上估价结果中总价为楼面单价乘以建筑面积得出）")</f>
        <v>（以上估价结果中总价为楼面单价乘以建筑面积得出）</v>
      </c>
      <c r="B132" s="3500"/>
      <c r="C132" s="3500"/>
      <c r="D132" s="3500"/>
      <c r="E132" s="3500"/>
      <c r="F132" s="3500"/>
      <c r="G132" s="3500"/>
      <c r="H132" s="3500"/>
      <c r="I132" s="3500"/>
      <c r="J132" s="2834"/>
    </row>
    <row r="133" spans="1:10" ht="21.75" customHeight="1">
      <c r="A133" s="1461" t="s">
        <v>1818</v>
      </c>
      <c r="B133" s="1462"/>
      <c r="C133" s="1463" t="s">
        <v>1819</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1820</v>
      </c>
      <c r="G139" s="1475"/>
      <c r="H139" s="1475"/>
      <c r="I139" s="1476" t="s">
        <v>1821</v>
      </c>
      <c r="J139" s="2844"/>
    </row>
    <row r="140" spans="1:10" ht="21.75" customHeight="1">
      <c r="A140" s="659"/>
      <c r="B140" s="1477" t="s">
        <v>1822</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1823</v>
      </c>
      <c r="J142" s="2844"/>
    </row>
    <row r="143" spans="1:10" ht="21.75" customHeight="1">
      <c r="A143" s="659"/>
      <c r="B143" s="1477" t="s">
        <v>1824</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1823</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C17" sqref="C17"/>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1825</v>
      </c>
      <c r="B1" s="1431"/>
      <c r="C1" s="1431"/>
      <c r="D1" s="1431"/>
      <c r="E1" s="1431"/>
      <c r="F1" s="1431"/>
      <c r="G1" s="1431"/>
      <c r="H1" s="1431"/>
      <c r="I1" s="1431"/>
    </row>
    <row r="2" spans="1:15" ht="21.75" customHeight="1">
      <c r="A2" s="3522" t="s">
        <v>1826</v>
      </c>
      <c r="B2" s="3522"/>
      <c r="C2" s="3522"/>
      <c r="D2" s="3522"/>
      <c r="E2" s="3522"/>
      <c r="F2" s="3522"/>
      <c r="G2" s="3522"/>
      <c r="H2" s="3522"/>
      <c r="I2" s="3522"/>
      <c r="J2" s="2845"/>
    </row>
    <row r="3" spans="1:15" ht="12.75">
      <c r="A3" s="3482" t="s">
        <v>1654</v>
      </c>
      <c r="B3" s="3483"/>
      <c r="C3" s="3483"/>
      <c r="D3" s="3483"/>
      <c r="E3" s="3483"/>
      <c r="F3" s="3483"/>
      <c r="G3" s="3483"/>
      <c r="H3" s="3483"/>
      <c r="I3" s="3483"/>
      <c r="J3" s="2815"/>
    </row>
    <row r="4" spans="1:15" ht="14.25">
      <c r="A4" s="2683" t="s">
        <v>1655</v>
      </c>
      <c r="B4" s="2683" t="s">
        <v>1656</v>
      </c>
      <c r="C4" s="2684" t="s">
        <v>3005</v>
      </c>
      <c r="D4" s="2684" t="s">
        <v>3004</v>
      </c>
      <c r="E4" s="3479" t="s">
        <v>1827</v>
      </c>
      <c r="F4" s="3467"/>
      <c r="G4" s="3467"/>
      <c r="H4" s="3467"/>
      <c r="I4" s="3468"/>
      <c r="J4" s="2816"/>
      <c r="L4" s="1431" t="str">
        <f>IF(ISNUMBER(FIND("比较法",'结果表 (1修多)'!C4)),"比较法",IF(ISNUMBER(FIND("成本法",'结果表 (1修多)'!C4)),"成本法",IF(ISNUMBER(FIND("假设开发法",'结果表 (1修多)'!C4)),"假设开发法",IF(ISNUMBER(FIND("收益法",'结果表 (1修多)'!C4)),"收益法","基准地价系数修正法"))))</f>
        <v>比较法</v>
      </c>
      <c r="M4" s="1431" t="str">
        <f>IF(ISNUMBER(FIND("比较法",'结果表 (1修多)'!D4)),"比较法",IF(ISNUMBER(FIND("成本法",'结果表 (1修多)'!D4)),"成本法",IF(ISNUMBER(FIND("假设开发法",'结果表 (1修多)'!D4)),"假设开发法",IF(ISNUMBER(FIND("收益法",'结果表 (1修多)'!D4)),"收益法","基准地价系数修正法"))))</f>
        <v>收益法</v>
      </c>
      <c r="N4" s="1431"/>
      <c r="O4" s="1431"/>
    </row>
    <row r="5" spans="1:15" ht="12.75">
      <c r="A5" s="3478" t="s">
        <v>1658</v>
      </c>
      <c r="B5" s="3478">
        <v>25</v>
      </c>
      <c r="C5" s="3484"/>
      <c r="D5" s="3481"/>
      <c r="E5" s="12" t="s">
        <v>1659</v>
      </c>
      <c r="F5" s="2059"/>
      <c r="G5" s="2059"/>
      <c r="H5" s="2059"/>
      <c r="I5" s="2054"/>
      <c r="J5" s="2816"/>
    </row>
    <row r="6" spans="1:15" ht="12.75">
      <c r="A6" s="3478"/>
      <c r="B6" s="3478"/>
      <c r="C6" s="3485"/>
      <c r="D6" s="3481"/>
      <c r="E6" s="12" t="s">
        <v>1660</v>
      </c>
      <c r="F6" s="2059"/>
      <c r="G6" s="2059"/>
      <c r="H6" s="2059"/>
      <c r="I6" s="2054"/>
      <c r="J6" s="2816"/>
    </row>
    <row r="7" spans="1:15" ht="12.75">
      <c r="A7" s="3478"/>
      <c r="B7" s="3478"/>
      <c r="C7" s="3486"/>
      <c r="D7" s="3481"/>
      <c r="E7" s="12" t="s">
        <v>1661</v>
      </c>
      <c r="F7" s="2059"/>
      <c r="G7" s="2059"/>
      <c r="H7" s="2059"/>
      <c r="I7" s="2054"/>
      <c r="J7" s="2816"/>
    </row>
    <row r="8" spans="1:15" ht="12.75">
      <c r="A8" s="3478" t="s">
        <v>1662</v>
      </c>
      <c r="B8" s="3478">
        <v>15</v>
      </c>
      <c r="C8" s="3484"/>
      <c r="D8" s="3481"/>
      <c r="E8" s="12" t="s">
        <v>1663</v>
      </c>
      <c r="F8" s="2059"/>
      <c r="G8" s="2059"/>
      <c r="H8" s="2059"/>
      <c r="I8" s="2054"/>
      <c r="J8" s="2816"/>
    </row>
    <row r="9" spans="1:15" ht="12.75">
      <c r="A9" s="3478"/>
      <c r="B9" s="3478"/>
      <c r="C9" s="3486"/>
      <c r="D9" s="3481"/>
      <c r="E9" s="12" t="s">
        <v>1664</v>
      </c>
      <c r="F9" s="2059"/>
      <c r="G9" s="2059"/>
      <c r="H9" s="2059"/>
      <c r="I9" s="2054"/>
      <c r="J9" s="2816"/>
    </row>
    <row r="10" spans="1:15" ht="12.75">
      <c r="A10" s="3478" t="s">
        <v>1665</v>
      </c>
      <c r="B10" s="3478">
        <v>15</v>
      </c>
      <c r="C10" s="3484"/>
      <c r="D10" s="3481"/>
      <c r="E10" s="12" t="s">
        <v>1666</v>
      </c>
      <c r="F10" s="2059"/>
      <c r="G10" s="2059"/>
      <c r="H10" s="2059"/>
      <c r="I10" s="2054"/>
      <c r="J10" s="2816"/>
    </row>
    <row r="11" spans="1:15" ht="12.75">
      <c r="A11" s="3478"/>
      <c r="B11" s="3478"/>
      <c r="C11" s="3486"/>
      <c r="D11" s="3481"/>
      <c r="E11" s="12" t="s">
        <v>1667</v>
      </c>
      <c r="F11" s="2059"/>
      <c r="G11" s="2059"/>
      <c r="H11" s="2059"/>
      <c r="I11" s="2054"/>
      <c r="J11" s="2816"/>
    </row>
    <row r="12" spans="1:15" ht="12.75">
      <c r="A12" s="3478" t="s">
        <v>1668</v>
      </c>
      <c r="B12" s="3478">
        <v>15</v>
      </c>
      <c r="C12" s="3484"/>
      <c r="D12" s="3481"/>
      <c r="E12" s="12" t="s">
        <v>1669</v>
      </c>
      <c r="F12" s="2059"/>
      <c r="G12" s="2059"/>
      <c r="H12" s="2059"/>
      <c r="I12" s="2054"/>
      <c r="J12" s="2816"/>
    </row>
    <row r="13" spans="1:15" ht="12.75">
      <c r="A13" s="3478"/>
      <c r="B13" s="3478"/>
      <c r="C13" s="3486"/>
      <c r="D13" s="3481"/>
      <c r="E13" s="12" t="s">
        <v>1670</v>
      </c>
      <c r="F13" s="2059"/>
      <c r="G13" s="2059"/>
      <c r="H13" s="2059"/>
      <c r="I13" s="2054"/>
      <c r="J13" s="2816"/>
    </row>
    <row r="14" spans="1:15" ht="12.75">
      <c r="A14" s="3478" t="s">
        <v>1671</v>
      </c>
      <c r="B14" s="3478">
        <v>30</v>
      </c>
      <c r="C14" s="3484">
        <v>8</v>
      </c>
      <c r="D14" s="3481">
        <f>10-C14</f>
        <v>2</v>
      </c>
      <c r="E14" s="12" t="s">
        <v>1672</v>
      </c>
      <c r="F14" s="2059"/>
      <c r="G14" s="2059"/>
      <c r="H14" s="2059"/>
      <c r="I14" s="2054"/>
      <c r="J14" s="2816"/>
    </row>
    <row r="15" spans="1:15" ht="12.75">
      <c r="A15" s="3478"/>
      <c r="B15" s="3478"/>
      <c r="C15" s="3485"/>
      <c r="D15" s="3481"/>
      <c r="E15" s="12" t="s">
        <v>1673</v>
      </c>
      <c r="F15" s="2059"/>
      <c r="G15" s="2059"/>
      <c r="H15" s="2059"/>
      <c r="I15" s="2054"/>
      <c r="J15" s="2816"/>
    </row>
    <row r="16" spans="1:15" ht="12.75">
      <c r="A16" s="3478"/>
      <c r="B16" s="3478"/>
      <c r="C16" s="3486"/>
      <c r="D16" s="3481"/>
      <c r="E16" s="12" t="s">
        <v>1674</v>
      </c>
      <c r="F16" s="2059"/>
      <c r="G16" s="2059"/>
      <c r="H16" s="2059"/>
      <c r="I16" s="2054"/>
      <c r="J16" s="2816"/>
    </row>
    <row r="17" spans="1:36" ht="15">
      <c r="A17" s="2685" t="s">
        <v>1675</v>
      </c>
      <c r="B17" s="2064"/>
      <c r="C17" s="2686">
        <f>SUM(C5:C16)</f>
        <v>8</v>
      </c>
      <c r="D17" s="2686">
        <f>SUM(D5:D16)</f>
        <v>2</v>
      </c>
      <c r="E17" s="2533"/>
      <c r="F17" s="2533"/>
      <c r="G17" s="2533"/>
      <c r="H17" s="2533"/>
      <c r="I17" s="2533"/>
      <c r="J17" s="2817"/>
    </row>
    <row r="18" spans="1:36" ht="32.450000000000003" customHeight="1" thickBot="1">
      <c r="A18" s="2687" t="s">
        <v>1676</v>
      </c>
      <c r="B18" s="2688"/>
      <c r="C18" s="2689">
        <f>ROUND(C17/SUM(C17:D17),2)</f>
        <v>0.8</v>
      </c>
      <c r="D18" s="2689">
        <f>1-C18</f>
        <v>0.19999999999999996</v>
      </c>
      <c r="E18" s="3498" t="s">
        <v>2760</v>
      </c>
      <c r="F18" s="3499"/>
      <c r="G18" s="3499"/>
      <c r="H18" s="3499"/>
      <c r="I18" s="3499"/>
      <c r="J18" s="2817"/>
    </row>
    <row r="19" spans="1:36" ht="15">
      <c r="A19" s="2690" t="s">
        <v>1677</v>
      </c>
      <c r="B19" s="2691" t="s">
        <v>1678</v>
      </c>
      <c r="C19" s="2692">
        <f ca="1">SUMIF(INDIRECT("'"&amp;C4&amp;"'"&amp;"!A:A"),'结果表 (1修多)'!B19,INDIRECT("'"&amp;C4&amp;"'"&amp;"!B:B"))</f>
        <v>409</v>
      </c>
      <c r="D19" s="2693">
        <f ca="1">SUMIF(INDIRECT("'"&amp;D4&amp;"'"&amp;"!A:A"),'结果表 (1修多)'!B19,INDIRECT("'"&amp;D4&amp;"'"&amp;"!B:B"))</f>
        <v>145</v>
      </c>
      <c r="E19" s="2690" t="s">
        <v>1679</v>
      </c>
      <c r="F19" s="2691" t="s">
        <v>1678</v>
      </c>
      <c r="G19" s="2694">
        <f ca="1">ROUND(C19*$C$18+D19*$D$18,0)</f>
        <v>356</v>
      </c>
      <c r="H19" s="2695" t="str">
        <f>'数据-取费表'!B3</f>
        <v>万元</v>
      </c>
      <c r="I19" s="2533"/>
      <c r="J19" s="2817"/>
    </row>
    <row r="20" spans="1:36" ht="15">
      <c r="A20" s="2696"/>
      <c r="B20" s="1664" t="s">
        <v>1680</v>
      </c>
      <c r="C20" s="1889">
        <f ca="1">SUMIF(INDIRECT("'"&amp;C4&amp;"'"&amp;"!A:A"),'结果表 (1修多)'!B20,INDIRECT("'"&amp;C4&amp;"'"&amp;"!B:B"))</f>
        <v>30412</v>
      </c>
      <c r="D20" s="1892">
        <f ca="1">SUMIF(INDIRECT("'"&amp;D4&amp;"'"&amp;"!A:A"),'结果表 (1修多)'!B20,INDIRECT("'"&amp;D4&amp;"'"&amp;"!B:B"))</f>
        <v>23031</v>
      </c>
      <c r="E20" s="2696"/>
      <c r="F20" s="1664" t="s">
        <v>1680</v>
      </c>
      <c r="G20" s="2063">
        <f ca="1">ROUND(C20*$C$18+D20*$D$18,0)</f>
        <v>28936</v>
      </c>
      <c r="H20" s="2697" t="s">
        <v>1681</v>
      </c>
      <c r="I20" s="2533"/>
      <c r="J20" s="2817"/>
    </row>
    <row r="21" spans="1:36" ht="15" customHeight="1" thickBot="1">
      <c r="A21" s="2698"/>
      <c r="B21" s="2699"/>
      <c r="C21" s="2699"/>
      <c r="D21" s="2700"/>
      <c r="E21" s="2698"/>
      <c r="F21" s="2699"/>
      <c r="G21" s="2701"/>
      <c r="H21" s="2702"/>
      <c r="I21" s="2533"/>
      <c r="J21" s="2817"/>
    </row>
    <row r="22" spans="1:36" ht="15" thickBot="1">
      <c r="A22" s="2703" t="s">
        <v>1682</v>
      </c>
      <c r="B22" s="2704"/>
      <c r="C22" s="2617"/>
      <c r="D22" s="2705">
        <f ca="1">IF(C19&lt;D19,D19/C19-1,C19/D19-1)</f>
        <v>1.8206896551724139</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87" t="s">
        <v>1683</v>
      </c>
      <c r="B24" s="2691" t="s">
        <v>1678</v>
      </c>
      <c r="C24" s="2694">
        <f>D30</f>
        <v>0</v>
      </c>
      <c r="D24" s="2646"/>
      <c r="E24" s="947"/>
      <c r="F24" s="947"/>
      <c r="G24" s="947"/>
      <c r="H24" s="947"/>
      <c r="I24" s="947"/>
      <c r="J24" s="2817"/>
    </row>
    <row r="25" spans="1:36" ht="21.75" customHeight="1">
      <c r="A25" s="3488"/>
      <c r="B25" s="1664" t="s">
        <v>1680</v>
      </c>
      <c r="C25" s="2706">
        <f>IF(B30=0,0,C30)</f>
        <v>0</v>
      </c>
      <c r="D25" s="2707"/>
      <c r="E25" s="947"/>
      <c r="F25" s="947"/>
      <c r="G25" s="947"/>
      <c r="H25" s="947"/>
      <c r="I25" s="947"/>
      <c r="J25" s="2817"/>
    </row>
    <row r="26" spans="1:36" ht="13.5" customHeight="1">
      <c r="A26" s="2708" t="s">
        <v>1684</v>
      </c>
      <c r="B26" s="2709" t="s">
        <v>1685</v>
      </c>
      <c r="C26" s="2709" t="s">
        <v>1686</v>
      </c>
      <c r="D26" s="2710" t="s">
        <v>1687</v>
      </c>
      <c r="E26" s="947"/>
      <c r="F26" s="947"/>
      <c r="G26" s="947"/>
      <c r="H26" s="947"/>
      <c r="I26" s="947"/>
      <c r="J26" s="2817"/>
    </row>
    <row r="27" spans="1:36" ht="14.25">
      <c r="A27" s="2711" t="s">
        <v>1828</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1829</v>
      </c>
      <c r="B30" s="2745"/>
      <c r="C30" s="2745"/>
      <c r="D30" s="2745"/>
      <c r="E30" s="2712" t="s">
        <v>2764</v>
      </c>
      <c r="F30" s="2533"/>
      <c r="G30" s="2533"/>
      <c r="H30" s="2533"/>
      <c r="I30" s="2533"/>
      <c r="J30" s="2817"/>
    </row>
    <row r="31" spans="1:36" s="2810" customFormat="1" ht="27.6"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44" t="s">
        <v>1830</v>
      </c>
      <c r="B32" s="3544"/>
      <c r="C32" s="3544"/>
      <c r="D32" s="3544"/>
      <c r="E32" s="3544"/>
      <c r="F32" s="3544"/>
      <c r="G32" s="3544"/>
      <c r="H32" s="3544"/>
      <c r="I32" s="3544"/>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1831</v>
      </c>
      <c r="C33" s="2747">
        <f ca="1">典型户型修正!R27</f>
        <v>28936</v>
      </c>
      <c r="D33" s="2533" t="s">
        <v>1832</v>
      </c>
      <c r="E33" s="947"/>
      <c r="F33" s="947"/>
      <c r="G33" s="947"/>
      <c r="H33" s="947"/>
      <c r="I33" s="947"/>
      <c r="J33" s="2817"/>
    </row>
    <row r="34" spans="1:16" ht="15">
      <c r="A34" s="1482" t="s">
        <v>1833</v>
      </c>
      <c r="B34" s="2748" t="s">
        <v>1834</v>
      </c>
      <c r="C34" s="2749">
        <f ca="1">典型户型修正!B2</f>
        <v>390</v>
      </c>
      <c r="D34" s="2750" t="str">
        <f>IF('数据-取费表'!B3="万元","万元","元")</f>
        <v>万元</v>
      </c>
      <c r="E34" s="947"/>
      <c r="F34" s="947"/>
      <c r="G34" s="947"/>
      <c r="H34" s="947"/>
      <c r="I34" s="947"/>
      <c r="J34" s="2817"/>
    </row>
    <row r="35" spans="1:16" ht="15.75" thickBot="1">
      <c r="A35" s="1483"/>
      <c r="B35" s="2751" t="s">
        <v>1835</v>
      </c>
      <c r="C35" s="2700">
        <f ca="1">典型户型修正!B3</f>
        <v>29011</v>
      </c>
      <c r="D35" s="2533" t="s">
        <v>1836</v>
      </c>
      <c r="E35" s="947"/>
      <c r="F35" s="947"/>
      <c r="G35" s="947"/>
      <c r="H35" s="947"/>
      <c r="I35" s="947"/>
      <c r="J35" s="2817"/>
    </row>
    <row r="36" spans="1:16" ht="15">
      <c r="A36" s="1484"/>
      <c r="B36" s="1438" t="s">
        <v>1837</v>
      </c>
      <c r="C36" s="2752">
        <f>IF('数据-取费表'!B3="万元",典型户型修正!V25,典型户型修正!U25)</f>
        <v>0</v>
      </c>
      <c r="D36" s="2533" t="str">
        <f>D34</f>
        <v>万元</v>
      </c>
      <c r="E36" s="947"/>
      <c r="F36" s="947"/>
      <c r="G36" s="947"/>
      <c r="H36" s="947"/>
      <c r="I36" s="947"/>
      <c r="J36" s="2817"/>
    </row>
    <row r="37" spans="1:16" ht="15.75" thickBot="1">
      <c r="A37" s="1437"/>
      <c r="B37" s="1439" t="s">
        <v>1838</v>
      </c>
      <c r="C37" s="2753">
        <f>IF('数据-取费表'!B3="万元",典型户型修正!Y25,典型户型修正!X25)</f>
        <v>0</v>
      </c>
      <c r="D37" s="2533" t="str">
        <f>D34</f>
        <v>万元</v>
      </c>
      <c r="E37" s="947"/>
      <c r="F37" s="947"/>
      <c r="G37" s="947"/>
      <c r="H37" s="947"/>
      <c r="I37" s="947"/>
      <c r="J37" s="2817"/>
    </row>
    <row r="38" spans="1:16" ht="15.75" thickBot="1">
      <c r="A38" s="3487" t="s">
        <v>1839</v>
      </c>
      <c r="B38" s="1438" t="s">
        <v>1840</v>
      </c>
      <c r="C38" s="2727"/>
      <c r="D38" s="2728"/>
      <c r="E38" s="1650"/>
      <c r="F38" s="1650"/>
      <c r="G38" s="947"/>
      <c r="H38" s="947"/>
      <c r="I38" s="947"/>
      <c r="J38" s="2817"/>
    </row>
    <row r="39" spans="1:16" ht="15.75" thickBot="1">
      <c r="A39" s="3492"/>
      <c r="B39" s="2064" t="s">
        <v>1841</v>
      </c>
      <c r="C39" s="2729"/>
      <c r="D39" s="1281"/>
      <c r="E39" s="1281"/>
      <c r="F39" s="1650"/>
      <c r="G39" s="1281"/>
      <c r="H39" s="1281"/>
      <c r="I39" s="1281"/>
      <c r="J39" s="2821"/>
    </row>
    <row r="40" spans="1:16" ht="15.75" thickBot="1">
      <c r="A40" s="3493"/>
      <c r="B40" s="1439" t="s">
        <v>1842</v>
      </c>
      <c r="C40" s="2730"/>
      <c r="D40" s="2731" t="s">
        <v>1843</v>
      </c>
      <c r="E40" s="1281"/>
      <c r="F40" s="1650"/>
      <c r="G40" s="1281"/>
      <c r="H40" s="1281"/>
      <c r="I40" s="1281"/>
      <c r="J40" s="2821"/>
    </row>
    <row r="41" spans="1:16" ht="15">
      <c r="A41" s="2696" t="s">
        <v>1844</v>
      </c>
      <c r="B41" s="2732" t="s">
        <v>1845</v>
      </c>
      <c r="C41" s="2733" t="s">
        <v>1846</v>
      </c>
      <c r="D41" s="2733" t="s">
        <v>1847</v>
      </c>
      <c r="E41" s="2734" t="s">
        <v>1848</v>
      </c>
      <c r="F41" s="1650"/>
      <c r="G41" s="1281"/>
      <c r="H41" s="1281"/>
      <c r="I41" s="1281"/>
      <c r="J41" s="2821"/>
    </row>
    <row r="42" spans="1:16" ht="14.25">
      <c r="A42" s="2735" t="s">
        <v>1849</v>
      </c>
      <c r="B42" s="2736"/>
      <c r="C42" s="2737"/>
      <c r="D42" s="2737"/>
      <c r="E42" s="2738"/>
      <c r="F42" s="1650"/>
      <c r="G42" s="1281"/>
      <c r="H42" s="1281"/>
      <c r="I42" s="1281"/>
      <c r="J42" s="2821"/>
    </row>
    <row r="43" spans="1:16" ht="14.25">
      <c r="A43" s="2735" t="s">
        <v>1850</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1851</v>
      </c>
      <c r="B46" s="1442"/>
      <c r="C46" s="1442"/>
      <c r="D46" s="2754"/>
      <c r="E46" s="2754"/>
      <c r="F46" s="2754"/>
      <c r="G46" s="2754"/>
      <c r="H46" s="2754"/>
      <c r="I46" s="2811" t="s">
        <v>2759</v>
      </c>
      <c r="J46" s="2847"/>
      <c r="K46" s="1445" t="s">
        <v>1706</v>
      </c>
      <c r="L46" s="1446"/>
      <c r="M46" s="1446"/>
      <c r="N46" s="1446"/>
      <c r="O46" s="1446"/>
      <c r="P46" s="1446"/>
    </row>
    <row r="47" spans="1:16" ht="14.25" customHeight="1" thickBot="1">
      <c r="A47" s="3412" t="s">
        <v>1852</v>
      </c>
      <c r="B47" s="3413"/>
      <c r="C47" s="3423"/>
      <c r="D47" s="246">
        <f ca="1">ROUND(I104*F47,0)</f>
        <v>390</v>
      </c>
      <c r="E47" s="1512" t="s">
        <v>1853</v>
      </c>
      <c r="F47" s="2531">
        <v>1</v>
      </c>
      <c r="G47" s="2532" t="s">
        <v>1854</v>
      </c>
      <c r="H47" s="947"/>
      <c r="I47" s="947"/>
      <c r="J47" s="2817"/>
      <c r="K47" s="3517" t="s">
        <v>1710</v>
      </c>
      <c r="L47" s="3517"/>
      <c r="M47" s="3517"/>
      <c r="N47" s="3517"/>
      <c r="O47" s="3517"/>
      <c r="P47" s="3517"/>
    </row>
    <row r="48" spans="1:16" ht="14.25" customHeight="1">
      <c r="A48" s="3489" t="s">
        <v>1711</v>
      </c>
      <c r="B48" s="3490"/>
      <c r="C48" s="3490"/>
      <c r="D48" s="3490"/>
      <c r="E48" s="3490"/>
      <c r="F48" s="3490"/>
      <c r="G48" s="3491"/>
      <c r="H48" s="2949"/>
      <c r="I48" s="947"/>
      <c r="J48" s="2817"/>
      <c r="K48" s="2483">
        <v>1</v>
      </c>
      <c r="L48" s="3518" t="s">
        <v>1712</v>
      </c>
      <c r="M48" s="3518"/>
      <c r="N48" s="3519"/>
      <c r="O48" s="3519"/>
      <c r="P48" s="3519"/>
    </row>
    <row r="49" spans="1:17" ht="12" customHeight="1">
      <c r="A49" s="38" t="s">
        <v>1713</v>
      </c>
      <c r="B49" s="39"/>
      <c r="C49" s="40"/>
      <c r="D49" s="1070" t="s">
        <v>1714</v>
      </c>
      <c r="E49" s="235" t="s">
        <v>1715</v>
      </c>
      <c r="F49" s="41" t="s">
        <v>1716</v>
      </c>
      <c r="G49" s="2534" t="s">
        <v>1717</v>
      </c>
      <c r="H49" s="2949"/>
      <c r="I49" s="947"/>
      <c r="J49" s="2817"/>
      <c r="K49" s="2483">
        <v>2</v>
      </c>
      <c r="L49" s="3518" t="s">
        <v>1718</v>
      </c>
      <c r="M49" s="3518"/>
      <c r="N49" s="3521">
        <f>'数据-取费表'!B2</f>
        <v>44553</v>
      </c>
      <c r="O49" s="3521"/>
      <c r="P49" s="3521"/>
    </row>
    <row r="50" spans="1:17" ht="25.5">
      <c r="A50" s="3494" t="s">
        <v>1719</v>
      </c>
      <c r="B50" s="3428"/>
      <c r="C50" s="3428"/>
      <c r="D50" s="12">
        <f ca="1">IF(H50="情况1",0,IF(H50="情况2",D54,IF(H50="情况3",D55,IF(H50="情况4",D56))))</f>
        <v>21</v>
      </c>
      <c r="E50" s="2062" t="str">
        <f>IF(H50="情况4","(销售额-原购置价)×税（费）率","销售额×税（费）率")</f>
        <v>销售额×税（费）率</v>
      </c>
      <c r="F50" s="2535">
        <f>IF(H50="情况1","免征",'数据-取费表'!E29)</f>
        <v>5.6000000000000001E-2</v>
      </c>
      <c r="G50" s="2536" t="s">
        <v>1720</v>
      </c>
      <c r="H50" s="2537" t="s">
        <v>1721</v>
      </c>
      <c r="I50" s="2949"/>
      <c r="J50" s="2824"/>
      <c r="K50" s="2483">
        <v>3</v>
      </c>
      <c r="L50" s="3518" t="s">
        <v>1722</v>
      </c>
      <c r="M50" s="3518"/>
      <c r="N50" s="3523">
        <f ca="1">I104</f>
        <v>390</v>
      </c>
      <c r="O50" s="3523"/>
      <c r="P50" s="3523"/>
    </row>
    <row r="51" spans="1:17" ht="25.5" customHeight="1">
      <c r="A51" s="2061" t="s">
        <v>1723</v>
      </c>
      <c r="B51" s="3467" t="s">
        <v>1724</v>
      </c>
      <c r="C51" s="3467"/>
      <c r="D51" s="2538">
        <v>0</v>
      </c>
      <c r="E51" s="261" t="s">
        <v>1725</v>
      </c>
      <c r="F51" s="2539" t="s">
        <v>48</v>
      </c>
      <c r="G51" s="3409"/>
      <c r="H51" s="2540" t="s">
        <v>2684</v>
      </c>
      <c r="I51" s="2541"/>
      <c r="J51" s="2825"/>
      <c r="K51" s="2483">
        <v>4</v>
      </c>
      <c r="L51" s="3518" t="str">
        <f>IF(项目基本情况!F5="房地产抵押价值","房地产抵押价值","抵押担保权已注销时的房地产抵押价值")</f>
        <v>抵押担保权已注销时的房地产抵押价值</v>
      </c>
      <c r="M51" s="3518"/>
      <c r="N51" s="3523" t="str">
        <f>IF(项目基本情况!F5="房地产抵押价值",I112,I114)</f>
        <v>——</v>
      </c>
      <c r="O51" s="3523"/>
      <c r="P51" s="3523"/>
    </row>
    <row r="52" spans="1:17" ht="25.5" customHeight="1">
      <c r="A52" s="2051"/>
      <c r="B52" s="3467" t="s">
        <v>1726</v>
      </c>
      <c r="C52" s="3467"/>
      <c r="D52" s="2542"/>
      <c r="E52" s="269"/>
      <c r="F52" s="2539"/>
      <c r="G52" s="3410"/>
      <c r="H52" s="2543" t="s">
        <v>2685</v>
      </c>
      <c r="I52" s="2541"/>
      <c r="J52" s="2825"/>
      <c r="K52" s="3518" t="s">
        <v>1727</v>
      </c>
      <c r="L52" s="3518"/>
      <c r="M52" s="3518"/>
      <c r="N52" s="3518"/>
      <c r="O52" s="3518"/>
      <c r="P52" s="3518"/>
    </row>
    <row r="53" spans="1:17" ht="20.45" customHeight="1">
      <c r="A53" s="2544"/>
      <c r="B53" s="3467" t="s">
        <v>1728</v>
      </c>
      <c r="C53" s="3467"/>
      <c r="D53" s="1070"/>
      <c r="E53" s="264"/>
      <c r="F53" s="2539"/>
      <c r="G53" s="3411"/>
      <c r="H53" s="2543" t="s">
        <v>2686</v>
      </c>
      <c r="I53" s="2541"/>
      <c r="J53" s="2825"/>
      <c r="K53" s="2484" t="s">
        <v>1729</v>
      </c>
      <c r="L53" s="3518" t="s">
        <v>1730</v>
      </c>
      <c r="M53" s="3518"/>
      <c r="N53" s="2484" t="s">
        <v>1731</v>
      </c>
      <c r="O53" s="2484" t="s">
        <v>1732</v>
      </c>
      <c r="P53" s="2484" t="s">
        <v>1733</v>
      </c>
    </row>
    <row r="54" spans="1:17" ht="24" customHeight="1">
      <c r="A54" s="2052" t="s">
        <v>1734</v>
      </c>
      <c r="B54" s="3467" t="s">
        <v>1735</v>
      </c>
      <c r="C54" s="3467"/>
      <c r="D54" s="1070">
        <f ca="1">ROUND(D47*'数据-取费表'!E29/(1+'数据-取费表'!F30),0)</f>
        <v>21</v>
      </c>
      <c r="E54" s="2062" t="s">
        <v>1736</v>
      </c>
      <c r="F54" s="2545">
        <f>'数据-取费表'!E29</f>
        <v>5.6000000000000001E-2</v>
      </c>
      <c r="G54" s="2546"/>
      <c r="H54" s="947"/>
      <c r="I54" s="2950"/>
      <c r="J54" s="2825"/>
      <c r="K54" s="2483">
        <v>1</v>
      </c>
      <c r="L54" s="3520" t="s">
        <v>1737</v>
      </c>
      <c r="M54" s="3520"/>
      <c r="N54" s="2485">
        <f ca="1">D50</f>
        <v>21</v>
      </c>
      <c r="O54" s="2483" t="str">
        <f>E50</f>
        <v>销售额×税（费）率</v>
      </c>
      <c r="P54" s="2486">
        <f>F50</f>
        <v>5.6000000000000001E-2</v>
      </c>
    </row>
    <row r="55" spans="1:17" ht="12" customHeight="1">
      <c r="A55" s="2052" t="s">
        <v>1738</v>
      </c>
      <c r="B55" s="3479" t="s">
        <v>2778</v>
      </c>
      <c r="C55" s="3468"/>
      <c r="D55" s="1070">
        <f ca="1">ROUND(D47*'数据-取费表'!E29/(1+'数据-取费表'!F30),0)</f>
        <v>21</v>
      </c>
      <c r="E55" s="2062" t="s">
        <v>1736</v>
      </c>
      <c r="F55" s="2545">
        <f>'数据-取费表'!E29</f>
        <v>5.6000000000000001E-2</v>
      </c>
      <c r="G55" s="2546"/>
      <c r="H55" s="947"/>
      <c r="I55" s="2950"/>
      <c r="J55" s="2825"/>
      <c r="K55" s="2483">
        <v>2</v>
      </c>
      <c r="L55" s="3520" t="s">
        <v>1739</v>
      </c>
      <c r="M55" s="3520"/>
      <c r="N55" s="2485">
        <f t="shared" ref="N55:P56" ca="1" si="1">D57</f>
        <v>0</v>
      </c>
      <c r="O55" s="2483" t="str">
        <f t="shared" si="1"/>
        <v>销售额×税（费）率</v>
      </c>
      <c r="P55" s="2486">
        <f t="shared" si="1"/>
        <v>5.0000000000000001E-4</v>
      </c>
    </row>
    <row r="56" spans="1:17" ht="12" customHeight="1">
      <c r="A56" s="2052" t="s">
        <v>1740</v>
      </c>
      <c r="B56" s="3479" t="s">
        <v>2779</v>
      </c>
      <c r="C56" s="3468"/>
      <c r="D56" s="1070">
        <f ca="1">C70</f>
        <v>21</v>
      </c>
      <c r="E56" s="264" t="s">
        <v>1741</v>
      </c>
      <c r="F56" s="2545">
        <f>'数据-取费表'!E29</f>
        <v>5.6000000000000001E-2</v>
      </c>
      <c r="G56" s="2546"/>
      <c r="H56" s="2951"/>
      <c r="I56" s="2950"/>
      <c r="J56" s="2825"/>
      <c r="K56" s="2483">
        <v>3</v>
      </c>
      <c r="L56" s="3520" t="s">
        <v>1742</v>
      </c>
      <c r="M56" s="3520"/>
      <c r="N56" s="2485">
        <f t="shared" ca="1" si="1"/>
        <v>221</v>
      </c>
      <c r="O56" s="2483" t="str">
        <f t="shared" si="1"/>
        <v>增值额×税（费）率</v>
      </c>
      <c r="P56" s="2487" t="str">
        <f t="shared" si="1"/>
        <v>——</v>
      </c>
    </row>
    <row r="57" spans="1:17" ht="24" customHeight="1">
      <c r="A57" s="3432" t="s">
        <v>1743</v>
      </c>
      <c r="B57" s="3428"/>
      <c r="C57" s="3428"/>
      <c r="D57" s="12">
        <f ca="1">IF(H57="个人住宅",0,ROUND(D47*I57,0))</f>
        <v>0</v>
      </c>
      <c r="E57" s="2062" t="s">
        <v>1744</v>
      </c>
      <c r="F57" s="2545">
        <f>IF(H57="正常",I57,"免征")</f>
        <v>5.0000000000000001E-4</v>
      </c>
      <c r="G57" s="2546"/>
      <c r="H57" s="2537" t="s">
        <v>1745</v>
      </c>
      <c r="I57" s="74">
        <f>'数据-取费表'!E37</f>
        <v>5.0000000000000001E-4</v>
      </c>
      <c r="J57" s="2825"/>
      <c r="K57" s="2483">
        <f>IF(H61="非个人房产","",4)</f>
        <v>4</v>
      </c>
      <c r="L57" s="3520" t="str">
        <f>IF(H61="非个人房产","——","个人所得税")</f>
        <v>个人所得税</v>
      </c>
      <c r="M57" s="3520"/>
      <c r="N57" s="2488">
        <f ca="1">D61</f>
        <v>4</v>
      </c>
      <c r="O57" s="2489" t="str">
        <f>E61</f>
        <v>销售额×税（费）率</v>
      </c>
      <c r="P57" s="2490">
        <f>F61</f>
        <v>0.01</v>
      </c>
    </row>
    <row r="58" spans="1:17" ht="24.75">
      <c r="A58" s="3432" t="s">
        <v>1746</v>
      </c>
      <c r="B58" s="3428"/>
      <c r="C58" s="3428"/>
      <c r="D58" s="12">
        <f ca="1">IF(H58="个人住宅",D59,D60)</f>
        <v>221</v>
      </c>
      <c r="E58" s="2062" t="s">
        <v>1747</v>
      </c>
      <c r="F58" s="2545" t="str">
        <f>IF(H58="正常",F60,"免征")</f>
        <v>——</v>
      </c>
      <c r="G58" s="2547" t="s">
        <v>1748</v>
      </c>
      <c r="H58" s="2548" t="s">
        <v>1745</v>
      </c>
      <c r="I58" s="2952"/>
      <c r="J58" s="2825"/>
      <c r="K58" s="2483" t="str">
        <f>IF(项目基本情况!I6="上海银行",IF(K57="",4,K57+1),"")</f>
        <v/>
      </c>
      <c r="L58" s="3524" t="str">
        <f>IF(项目基本情况!I6="上海银行","其他处置费用","")</f>
        <v/>
      </c>
      <c r="M58" s="3529"/>
      <c r="N58" s="2485" t="str">
        <f>IF(项目基本情况!I6="上海银行",N71,"")</f>
        <v/>
      </c>
      <c r="O58" s="3524" t="str">
        <f>IF(项目基本情况!I6="上海银行","包含处置中涉及的律师、诉讼、拍卖、评估等费用","")</f>
        <v/>
      </c>
      <c r="P58" s="3525"/>
    </row>
    <row r="59" spans="1:17" ht="12.75">
      <c r="A59" s="2052" t="s">
        <v>1723</v>
      </c>
      <c r="B59" s="3479" t="s">
        <v>1749</v>
      </c>
      <c r="C59" s="3468"/>
      <c r="D59" s="2538">
        <v>0</v>
      </c>
      <c r="E59" s="261" t="s">
        <v>1725</v>
      </c>
      <c r="F59" s="235"/>
      <c r="G59" s="2546"/>
      <c r="H59" s="2952"/>
      <c r="I59" s="2952"/>
      <c r="J59" s="2825"/>
      <c r="K59" s="3520">
        <f>IF(AND(K57="",K58=""),4,IF(项目基本情况!I6="上海银行",K58+1,K57+1))</f>
        <v>5</v>
      </c>
      <c r="L59" s="3520" t="s">
        <v>1750</v>
      </c>
      <c r="M59" s="2491" t="s">
        <v>1751</v>
      </c>
      <c r="N59" s="2492"/>
      <c r="O59" s="2493">
        <f ca="1">SUMIF(N54:N58,"&lt;9e307")</f>
        <v>246</v>
      </c>
      <c r="P59" s="2494"/>
      <c r="Q59" s="1276" t="e">
        <f ca="1">O59/N51</f>
        <v>#VALUE!</v>
      </c>
    </row>
    <row r="60" spans="1:17" ht="24.75">
      <c r="A60" s="2052" t="s">
        <v>1734</v>
      </c>
      <c r="B60" s="3479" t="s">
        <v>1752</v>
      </c>
      <c r="C60" s="3467"/>
      <c r="D60" s="12">
        <f ca="1">IF(H60="转让取得",C83,C99)</f>
        <v>221</v>
      </c>
      <c r="E60" s="2062" t="s">
        <v>1747</v>
      </c>
      <c r="F60" s="235" t="s">
        <v>48</v>
      </c>
      <c r="G60" s="2546"/>
      <c r="H60" s="2548" t="s">
        <v>1753</v>
      </c>
      <c r="I60" s="2952"/>
      <c r="J60" s="2825"/>
      <c r="K60" s="3520"/>
      <c r="L60" s="3520"/>
      <c r="M60" s="2491" t="s">
        <v>1754</v>
      </c>
      <c r="N60" s="2495"/>
      <c r="O60" s="2496" t="str">
        <f ca="1">IF(H19="元",NUMBERSTRING(INT(O59),2)&amp;"元整",NUMBERSTRING(INT(O59*10000),2)&amp;"元整")</f>
        <v>贰佰肆拾陆万元整</v>
      </c>
      <c r="P60" s="2497"/>
    </row>
    <row r="61" spans="1:17" ht="26.25" thickBot="1">
      <c r="A61" s="3495" t="s">
        <v>1755</v>
      </c>
      <c r="B61" s="3496"/>
      <c r="C61" s="3496"/>
      <c r="D61" s="69">
        <f ca="1">IF(H61="非个人房产","——",IF(H61="个人住宅（满五唯一有凭证）",0,IF(H61="个人其他（无凭证）",ROUND(D47*F61,0),ROUND(C69*F61,0))))</f>
        <v>4</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2757</v>
      </c>
      <c r="H61" s="2066" t="s">
        <v>2683</v>
      </c>
      <c r="I61" s="2853" t="s">
        <v>2769</v>
      </c>
      <c r="J61" s="2825"/>
      <c r="K61" s="3526">
        <f>K59+1</f>
        <v>6</v>
      </c>
      <c r="L61" s="3520" t="s">
        <v>1756</v>
      </c>
      <c r="M61" s="2483" t="s">
        <v>1751</v>
      </c>
      <c r="N61" s="2498"/>
      <c r="O61" s="2499" t="e">
        <f ca="1">N51-O59</f>
        <v>#VALUE!</v>
      </c>
      <c r="P61" s="2500"/>
    </row>
    <row r="62" spans="1:17" ht="12" customHeight="1">
      <c r="A62" s="1427"/>
      <c r="B62" s="2533"/>
      <c r="C62" s="2533"/>
      <c r="D62" s="2533"/>
      <c r="E62" s="1427"/>
      <c r="F62" s="2952"/>
      <c r="G62" s="2952"/>
      <c r="H62" s="2947"/>
      <c r="I62" s="947"/>
      <c r="J62" s="2825"/>
      <c r="K62" s="3527"/>
      <c r="L62" s="3520"/>
      <c r="M62" s="2491" t="s">
        <v>1754</v>
      </c>
      <c r="N62" s="2495"/>
      <c r="O62" s="2496" t="e">
        <f ca="1">IF(H19="元",NUMBERSTRING(INT(O61),2)&amp;"元整",NUMBERSTRING(INT(O61*10000),2)&amp;"元整")</f>
        <v>#VALUE!</v>
      </c>
      <c r="P62" s="2497"/>
    </row>
    <row r="63" spans="1:17" ht="13.5" thickBot="1">
      <c r="A63" s="3528" t="s">
        <v>1757</v>
      </c>
      <c r="B63" s="3528"/>
      <c r="C63" s="3528"/>
      <c r="D63" s="3528"/>
      <c r="E63" s="3528"/>
      <c r="F63" s="2952"/>
      <c r="G63" s="2952"/>
      <c r="H63" s="2947"/>
      <c r="I63" s="947"/>
      <c r="J63" s="2817"/>
      <c r="K63" s="2483">
        <f>K61+1</f>
        <v>7</v>
      </c>
      <c r="L63" s="3520" t="s">
        <v>1758</v>
      </c>
      <c r="M63" s="3520"/>
      <c r="N63" s="2501"/>
      <c r="O63" s="2502" t="e">
        <f ca="1">IF(H19="元",ROUND(O61/项目基本情况!C12,0),ROUND(O61*10000/项目基本情况!C12,0))</f>
        <v>#VALUE!</v>
      </c>
      <c r="P63" s="2503"/>
    </row>
    <row r="64" spans="1:17" ht="12.75">
      <c r="A64" s="3446" t="s">
        <v>1759</v>
      </c>
      <c r="B64" s="3447"/>
      <c r="C64" s="1577"/>
      <c r="D64" s="1577" t="s">
        <v>1760</v>
      </c>
      <c r="E64" s="45" t="s">
        <v>1761</v>
      </c>
      <c r="F64" s="2952"/>
      <c r="G64" s="2952"/>
      <c r="H64" s="2947"/>
      <c r="I64" s="947"/>
      <c r="J64" s="2817"/>
      <c r="K64" s="1278"/>
      <c r="L64" s="1278"/>
      <c r="M64" s="1278"/>
      <c r="N64" s="1278"/>
      <c r="O64" s="1278"/>
    </row>
    <row r="65" spans="1:36" ht="12.75">
      <c r="A65" s="46">
        <v>1</v>
      </c>
      <c r="B65" s="47" t="s">
        <v>1762</v>
      </c>
      <c r="C65" s="2756">
        <f ca="1">ROUND((C66+C67)/(1+'数据-取费表'!F30),0)</f>
        <v>371</v>
      </c>
      <c r="D65" s="47"/>
      <c r="E65" s="48"/>
      <c r="F65" s="2952"/>
      <c r="G65" s="2952"/>
      <c r="H65" s="2947"/>
      <c r="I65" s="947"/>
      <c r="J65" s="2817"/>
      <c r="K65" s="3516" t="s">
        <v>1763</v>
      </c>
      <c r="L65" s="1277" t="s">
        <v>1764</v>
      </c>
      <c r="M65" s="1277" t="e">
        <f>IF(N51&gt;10000,N51*0.5%,IF(AND(N51&gt;1000,N51&lt;=10000),N51*1%,IF(AND(N51&gt;100,N51&lt;=1000),N51*3%,IF(AND(N51&gt;10,N51&lt;=100),N51*5%,N51*8%))))</f>
        <v>#VALUE!</v>
      </c>
      <c r="N65" s="235" t="e">
        <f>ROUND(M65,1)</f>
        <v>#VALUE!</v>
      </c>
      <c r="O65" s="2504"/>
    </row>
    <row r="66" spans="1:36" ht="12.75">
      <c r="A66" s="49" t="s">
        <v>71</v>
      </c>
      <c r="B66" s="50" t="s">
        <v>1765</v>
      </c>
      <c r="C66" s="2757">
        <f ca="1">D47</f>
        <v>390</v>
      </c>
      <c r="D66" s="50" t="s">
        <v>41</v>
      </c>
      <c r="E66" s="52"/>
      <c r="F66" s="2952"/>
      <c r="G66" s="2952"/>
      <c r="H66" s="2947"/>
      <c r="I66" s="947"/>
      <c r="J66" s="2817"/>
      <c r="K66" s="3516"/>
      <c r="L66" s="1277" t="s">
        <v>1766</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4" t="s">
        <v>1767</v>
      </c>
    </row>
    <row r="67" spans="1:36" ht="12.75">
      <c r="A67" s="49" t="s">
        <v>72</v>
      </c>
      <c r="B67" s="50" t="s">
        <v>1768</v>
      </c>
      <c r="C67" s="2758"/>
      <c r="D67" s="50"/>
      <c r="E67" s="52"/>
      <c r="F67" s="2952"/>
      <c r="G67" s="2952"/>
      <c r="H67" s="2947"/>
      <c r="I67" s="947"/>
      <c r="J67" s="2817"/>
      <c r="K67" s="3516"/>
      <c r="L67" s="1277" t="s">
        <v>1769</v>
      </c>
      <c r="M67" s="1277" t="e">
        <f>IF(N51&gt;1000,N51*0.1%,IF(AND(N51&gt;500,N51&lt;=1000),N51*0.5%,IF(AND(N51&gt;50,N51&lt;=500),N51*1%,IF(AND(N51&gt;1,N51&lt;=50),N51*1.5%))))</f>
        <v>#VALUE!</v>
      </c>
      <c r="N67" s="235" t="e">
        <f t="shared" si="2"/>
        <v>#VALUE!</v>
      </c>
      <c r="O67" s="2504" t="s">
        <v>1767</v>
      </c>
    </row>
    <row r="68" spans="1:36" ht="12.75">
      <c r="A68" s="53" t="s">
        <v>47</v>
      </c>
      <c r="B68" s="54" t="s">
        <v>1770</v>
      </c>
      <c r="C68" s="2759"/>
      <c r="D68" s="54" t="s">
        <v>41</v>
      </c>
      <c r="E68" s="1286" t="s">
        <v>1771</v>
      </c>
      <c r="F68" s="2952"/>
      <c r="G68" s="2952"/>
      <c r="H68" s="2947"/>
      <c r="I68" s="947"/>
      <c r="J68" s="2817"/>
      <c r="K68" s="3516"/>
      <c r="L68" s="1277" t="s">
        <v>1772</v>
      </c>
      <c r="M68" s="1277" t="e">
        <f>N51*0.5%</f>
        <v>#VALUE!</v>
      </c>
      <c r="N68" s="235" t="e">
        <f>IF(M68&gt;0.5,0.5,ROUND(M68,0))</f>
        <v>#VALUE!</v>
      </c>
      <c r="O68" s="2504" t="s">
        <v>1773</v>
      </c>
    </row>
    <row r="69" spans="1:36" ht="12.75">
      <c r="A69" s="53" t="s">
        <v>42</v>
      </c>
      <c r="B69" s="54" t="s">
        <v>1774</v>
      </c>
      <c r="C69" s="2760">
        <f ca="1">C65-C68</f>
        <v>371</v>
      </c>
      <c r="D69" s="50" t="s">
        <v>41</v>
      </c>
      <c r="E69" s="52"/>
      <c r="F69" s="2952"/>
      <c r="G69" s="2952"/>
      <c r="H69" s="2947"/>
      <c r="I69" s="947"/>
      <c r="J69" s="2817"/>
      <c r="K69" s="3516"/>
      <c r="L69" s="1277" t="s">
        <v>1775</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4"/>
    </row>
    <row r="70" spans="1:36" ht="13.5" thickBot="1">
      <c r="A70" s="55" t="s">
        <v>46</v>
      </c>
      <c r="B70" s="56" t="s">
        <v>1776</v>
      </c>
      <c r="C70" s="2761">
        <f ca="1">IF(C69&lt;=0,0,ROUND(C69*D70,0))</f>
        <v>21</v>
      </c>
      <c r="D70" s="2212">
        <f>'数据-取费表'!E29</f>
        <v>5.6000000000000001E-2</v>
      </c>
      <c r="E70" s="57"/>
      <c r="F70" s="2952"/>
      <c r="G70" s="2952"/>
      <c r="H70" s="2947"/>
      <c r="I70" s="947"/>
      <c r="J70" s="2817"/>
      <c r="K70" s="3516"/>
      <c r="L70" s="1277" t="s">
        <v>1777</v>
      </c>
      <c r="M70" s="1277" t="e">
        <f>IF(N51&gt;10000,N51*0.5%,IF(AND(N51&gt;5000,N51&lt;=10000),N51*1%,IF(AND(N51&gt;1000,N51&lt;=5000),N51*2%,IF(AND(N51&gt;200,N51&lt;=1000),N51*3%,N51*5%))))</f>
        <v>#VALUE!</v>
      </c>
      <c r="N70" s="235" t="e">
        <f>ROUND(M70,1)</f>
        <v>#VALUE!</v>
      </c>
      <c r="O70" s="2504"/>
    </row>
    <row r="71" spans="1:36" s="1435" customFormat="1" ht="7.5" customHeight="1">
      <c r="A71" s="1447"/>
      <c r="B71" s="1448"/>
      <c r="C71" s="2762"/>
      <c r="D71" s="2255"/>
      <c r="E71" s="1451"/>
      <c r="F71" s="1427"/>
      <c r="G71" s="1427"/>
      <c r="H71" s="1451"/>
      <c r="I71" s="2533"/>
      <c r="J71" s="2817"/>
      <c r="K71" s="3516"/>
      <c r="L71" s="1277" t="s">
        <v>1778</v>
      </c>
      <c r="M71" s="1277"/>
      <c r="N71" s="235" t="e">
        <f>ROUND(SUM(N65:N70),0)</f>
        <v>#VALUE!</v>
      </c>
      <c r="O71" s="2505"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3" t="s">
        <v>1779</v>
      </c>
      <c r="B72" s="3534"/>
      <c r="C72" s="3534"/>
      <c r="D72" s="3534"/>
      <c r="E72" s="3534"/>
      <c r="F72" s="3534"/>
      <c r="G72" s="3534"/>
      <c r="H72" s="3534"/>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46" t="s">
        <v>1759</v>
      </c>
      <c r="B73" s="3447"/>
      <c r="C73" s="1577"/>
      <c r="D73" s="1577" t="s">
        <v>1760</v>
      </c>
      <c r="E73" s="58" t="s">
        <v>1761</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1780</v>
      </c>
      <c r="C74" s="2760">
        <f ca="1">ROUND(D47/(1+'数据-取费表'!F30),0)</f>
        <v>371</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1782</v>
      </c>
      <c r="C75" s="2760">
        <f ca="1">C76+C80</f>
        <v>2</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1783</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1784</v>
      </c>
      <c r="C77" s="2238"/>
      <c r="D77" s="50" t="s">
        <v>41</v>
      </c>
      <c r="E77" s="64" t="s">
        <v>1785</v>
      </c>
      <c r="F77" s="2764" t="s">
        <v>1786</v>
      </c>
      <c r="G77" s="64" t="s">
        <v>1787</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1788</v>
      </c>
      <c r="C78" s="50">
        <f>IF(F77="购房发票",ROUND(C77*H77*D78,0),0)</f>
        <v>0</v>
      </c>
      <c r="D78" s="2766">
        <v>0.05</v>
      </c>
      <c r="E78" s="3479" t="s">
        <v>1789</v>
      </c>
      <c r="F78" s="3467"/>
      <c r="G78" s="3467"/>
      <c r="H78" s="3480"/>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1790</v>
      </c>
      <c r="C79" s="50">
        <f>ROUND(IF(G79="个人住宅",0,IF(G79="2016年5月1日前购买",C77*D79,C77*D79/(1+'数据-取费表'!F30))),0)</f>
        <v>0</v>
      </c>
      <c r="D79" s="2767">
        <f>'数据-取费表'!E36+'数据-取费表'!E37</f>
        <v>3.0499999999999999E-2</v>
      </c>
      <c r="E79" s="12" t="s">
        <v>1791</v>
      </c>
      <c r="F79" s="2065"/>
      <c r="G79" s="1456" t="s">
        <v>1792</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1793</v>
      </c>
      <c r="C80" s="2768">
        <f ca="1">ROUND(D47*D80/(1+'数据-取费表'!F30),0)</f>
        <v>2</v>
      </c>
      <c r="D80" s="2769">
        <f>'数据-取费表'!E31</f>
        <v>6.000000000000001E-3</v>
      </c>
      <c r="E80" s="3415" t="s">
        <v>1794</v>
      </c>
      <c r="F80" s="3416"/>
      <c r="G80" s="3416"/>
      <c r="H80" s="3436"/>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1795</v>
      </c>
      <c r="C81" s="2760">
        <f ca="1">C74-C75</f>
        <v>369</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1796</v>
      </c>
      <c r="C82" s="2770">
        <f ca="1">IF(C81&lt;=0,0,C81/C75)</f>
        <v>184.5</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1797</v>
      </c>
      <c r="C83" s="2771">
        <f ca="1">ROUND(IF(C81&lt;=0,0,IF(C82&gt;=200%,C81*60%-C75*35%,IF(C82&gt;=100%,C81*50%-C75*15%,IF(C82&gt;=50%,C81*40%-C75*5%,IF(C82&lt;50%,C81*30%,0))))),0)</f>
        <v>221</v>
      </c>
      <c r="D83" s="2142"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3" t="s">
        <v>1798</v>
      </c>
      <c r="B85" s="3534"/>
      <c r="C85" s="3534"/>
      <c r="D85" s="3534"/>
      <c r="E85" s="3534"/>
      <c r="F85" s="3534"/>
      <c r="G85" s="3534"/>
      <c r="H85" s="3534"/>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46" t="s">
        <v>1759</v>
      </c>
      <c r="B86" s="3447"/>
      <c r="C86" s="1577"/>
      <c r="D86" s="1577" t="s">
        <v>1760</v>
      </c>
      <c r="E86" s="58" t="s">
        <v>1761</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1780</v>
      </c>
      <c r="C87" s="2760">
        <f ca="1">ROUND(D47/(1+'数据-取费表'!F30),0)</f>
        <v>371</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1782</v>
      </c>
      <c r="C88" s="2760">
        <f ca="1">IF(H90="仅含出让金",C89+C92+C93+C94+C95+C96,C89+C93+C94+C95+C96)</f>
        <v>2</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1799</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1800</v>
      </c>
      <c r="C90" s="2773"/>
      <c r="D90" s="2769"/>
      <c r="E90" s="74" t="s">
        <v>1801</v>
      </c>
      <c r="F90" s="2056"/>
      <c r="G90" s="75" t="s">
        <v>1802</v>
      </c>
      <c r="H90" s="1458"/>
      <c r="I90" s="608"/>
      <c r="J90" s="2849"/>
      <c r="K90" s="2944" t="s">
        <v>2761</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1790</v>
      </c>
      <c r="C91" s="2768">
        <f>ROUND(C90*D91,0)</f>
        <v>0</v>
      </c>
      <c r="D91" s="2769">
        <f>'数据-取费表'!E36+'数据-取费表'!E37</f>
        <v>3.0499999999999999E-2</v>
      </c>
      <c r="E91" s="74" t="s">
        <v>1803</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1804</v>
      </c>
      <c r="C92" s="2773"/>
      <c r="D92" s="2769"/>
      <c r="E92" s="74" t="str">
        <f>IF(H90="-","土地取得成本中已包含该笔费用"," ")</f>
        <v xml:space="preserve"> </v>
      </c>
      <c r="F92" s="2056"/>
      <c r="G92" s="3455" t="s">
        <v>2678</v>
      </c>
      <c r="H92" s="3535"/>
      <c r="I92" s="608"/>
      <c r="J92" s="2849"/>
      <c r="K92" s="2944" t="s">
        <v>2762</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1805</v>
      </c>
      <c r="C93" s="2768">
        <f>IF(H93="——",成本法!C33,I93)</f>
        <v>0</v>
      </c>
      <c r="D93" s="2769"/>
      <c r="E93" s="3415" t="s">
        <v>1806</v>
      </c>
      <c r="F93" s="3416"/>
      <c r="G93" s="3416"/>
      <c r="H93" s="1459" t="s">
        <v>1807</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1808</v>
      </c>
      <c r="C94" s="2768">
        <f>ROUND((C89+C92+C93)*D94,0)</f>
        <v>0</v>
      </c>
      <c r="D94" s="2769">
        <v>0.1</v>
      </c>
      <c r="E94" s="3415" t="s">
        <v>1809</v>
      </c>
      <c r="F94" s="3416"/>
      <c r="G94" s="3416"/>
      <c r="H94" s="3436"/>
      <c r="I94" s="608"/>
      <c r="J94" s="2849"/>
      <c r="K94" s="2945" t="s">
        <v>2763</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1793</v>
      </c>
      <c r="C95" s="2768">
        <f ca="1">ROUND(D47*D95/(1+'数据-取费表'!F30),0)</f>
        <v>2</v>
      </c>
      <c r="D95" s="2769">
        <f>'数据-取费表'!E31</f>
        <v>6.000000000000001E-3</v>
      </c>
      <c r="E95" s="3415" t="s">
        <v>1794</v>
      </c>
      <c r="F95" s="3416"/>
      <c r="G95" s="3416"/>
      <c r="H95" s="3436"/>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1810</v>
      </c>
      <c r="C96" s="2768">
        <f>ROUND((C89+C92+C93)*D96,0)</f>
        <v>0</v>
      </c>
      <c r="D96" s="2769">
        <v>0.2</v>
      </c>
      <c r="E96" s="3415" t="s">
        <v>1811</v>
      </c>
      <c r="F96" s="3416"/>
      <c r="G96" s="3416"/>
      <c r="H96" s="3436"/>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1795</v>
      </c>
      <c r="C97" s="2760">
        <f ca="1">ROUND(C87-C88,0)</f>
        <v>369</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1796</v>
      </c>
      <c r="C98" s="2770">
        <f ca="1">IF(C97&lt;=0,0,C97/C88)</f>
        <v>184.5</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1797</v>
      </c>
      <c r="C99" s="67">
        <f ca="1">ROUND(IF(C97&lt;=0,0,IF(C98&gt;=200%,C97*60%-C88*35%,IF(C98&gt;=100%,C97*50%-C88*15%,IF(C98&gt;=50%,C97*40%-C88*5%,IF(C98&lt;50%,C97*30%,0))))),0)</f>
        <v>221</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1812</v>
      </c>
      <c r="B100" s="1431"/>
      <c r="C100" s="1431"/>
      <c r="D100" s="1431"/>
      <c r="E100" s="812"/>
      <c r="F100" s="812"/>
      <c r="G100" s="812"/>
      <c r="H100" s="1440"/>
      <c r="I100" s="1431"/>
    </row>
    <row r="101" spans="1:36" ht="15">
      <c r="A101" s="3433" t="s">
        <v>1813</v>
      </c>
      <c r="B101" s="3434"/>
      <c r="C101" s="3434"/>
      <c r="D101" s="3435"/>
      <c r="E101" s="1431"/>
      <c r="F101" s="3530" t="s">
        <v>2720</v>
      </c>
      <c r="G101" s="3531"/>
      <c r="H101" s="3531"/>
      <c r="I101" s="3532"/>
      <c r="J101" s="2852"/>
    </row>
    <row r="102" spans="1:36" ht="15">
      <c r="A102" s="3450" t="s">
        <v>1815</v>
      </c>
      <c r="B102" s="3451"/>
      <c r="C102" s="2775" t="str">
        <f>C4</f>
        <v>比较法-办公</v>
      </c>
      <c r="D102" s="2776" t="str">
        <f>D4</f>
        <v>收益法</v>
      </c>
      <c r="E102" s="1431"/>
      <c r="F102" s="3452" t="s">
        <v>2721</v>
      </c>
      <c r="G102" s="3454"/>
      <c r="H102" s="3465" t="s">
        <v>2722</v>
      </c>
      <c r="I102" s="3453"/>
      <c r="J102" s="2832"/>
    </row>
    <row r="103" spans="1:36" ht="12.75">
      <c r="A103" s="3536" t="s">
        <v>2716</v>
      </c>
      <c r="B103" s="2277" t="str">
        <f>IF(H19="元","总价（元）","总价（万元）")</f>
        <v>总价（万元）</v>
      </c>
      <c r="C103" s="1277">
        <f ca="1">C19</f>
        <v>409</v>
      </c>
      <c r="D103" s="2779">
        <f ca="1">D19</f>
        <v>145</v>
      </c>
      <c r="E103" s="1431"/>
      <c r="F103" s="3537"/>
      <c r="G103" s="3538"/>
      <c r="H103" s="3456">
        <f>典型户型修正!B25</f>
        <v>134.43</v>
      </c>
      <c r="I103" s="3453"/>
      <c r="J103" s="2832"/>
    </row>
    <row r="104" spans="1:36" ht="12.75">
      <c r="A104" s="3536"/>
      <c r="B104" s="2277" t="s">
        <v>2717</v>
      </c>
      <c r="C104" s="2780">
        <f ca="1">C20</f>
        <v>30412</v>
      </c>
      <c r="D104" s="2781">
        <f ca="1">D20</f>
        <v>23031</v>
      </c>
      <c r="E104" s="1431"/>
      <c r="F104" s="3439" t="s">
        <v>2723</v>
      </c>
      <c r="G104" s="3440"/>
      <c r="H104" s="2789" t="str">
        <f>C110</f>
        <v>总价（万元）</v>
      </c>
      <c r="I104" s="2790">
        <f ca="1">H125</f>
        <v>390</v>
      </c>
      <c r="J104" s="2832"/>
    </row>
    <row r="105" spans="1:36" ht="12.75">
      <c r="A105" s="3536" t="s">
        <v>2718</v>
      </c>
      <c r="B105" s="2215" t="str">
        <f>B103</f>
        <v>总价（万元）</v>
      </c>
      <c r="C105" s="12">
        <f ca="1">ROUND(IF('数据-取费表'!B4="总价",G19,IF(H19="元",G20*'数据-取费表'!E5,G20*'数据-取费表'!E5/10000)),0)</f>
        <v>182</v>
      </c>
      <c r="D105" s="2782"/>
      <c r="E105" s="1431"/>
      <c r="F105" s="3439"/>
      <c r="G105" s="3440"/>
      <c r="H105" s="2789" t="s">
        <v>2724</v>
      </c>
      <c r="I105" s="52">
        <f ca="1">I125</f>
        <v>29011</v>
      </c>
      <c r="J105" s="2816"/>
    </row>
    <row r="106" spans="1:36" ht="12.75">
      <c r="A106" s="3536"/>
      <c r="B106" s="2277" t="s">
        <v>2717</v>
      </c>
      <c r="C106" s="1451">
        <f ca="1">ROUND(IF('数据-取费表'!B4="楼面单价",G20,IF(H19="元",G19/'数据-取费表'!E5,G19*10000/'数据-取费表'!E5)),0)</f>
        <v>28936</v>
      </c>
      <c r="D106" s="2782"/>
      <c r="E106" s="1431"/>
      <c r="F106" s="3439"/>
      <c r="G106" s="3440"/>
      <c r="H106" s="3471"/>
      <c r="I106" s="3472"/>
      <c r="J106" s="2833"/>
    </row>
    <row r="107" spans="1:36" ht="12.75">
      <c r="A107" s="3543" t="s">
        <v>2719</v>
      </c>
      <c r="B107" s="2783" t="str">
        <f>B103</f>
        <v>总价（万元）</v>
      </c>
      <c r="C107" s="2784">
        <f ca="1">H125</f>
        <v>390</v>
      </c>
      <c r="D107" s="2785"/>
      <c r="E107" s="1431"/>
      <c r="F107" s="3475" t="s">
        <v>2725</v>
      </c>
      <c r="G107" s="3476"/>
      <c r="H107" s="2791" t="str">
        <f>C112</f>
        <v>总额（万元）</v>
      </c>
      <c r="I107" s="2790">
        <f>SUMIF(I108:I110,"&lt;9E307")</f>
        <v>0</v>
      </c>
      <c r="J107" s="2832"/>
    </row>
    <row r="108" spans="1:36" ht="15" thickBot="1">
      <c r="A108" s="3470"/>
      <c r="B108" s="2786" t="s">
        <v>2717</v>
      </c>
      <c r="C108" s="2787">
        <f ca="1">I125</f>
        <v>29011</v>
      </c>
      <c r="D108" s="2788"/>
      <c r="E108" s="1431"/>
      <c r="F108" s="3441" t="s">
        <v>2726</v>
      </c>
      <c r="G108" s="3442"/>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39" t="s">
        <v>1816</v>
      </c>
      <c r="B109" s="3540"/>
      <c r="C109" s="3540"/>
      <c r="D109" s="3541"/>
      <c r="E109" s="1431"/>
      <c r="F109" s="3441" t="s">
        <v>2727</v>
      </c>
      <c r="G109" s="3442"/>
      <c r="H109" s="2791" t="str">
        <f>C114</f>
        <v>总额（万元）</v>
      </c>
      <c r="I109" s="52">
        <f>C39</f>
        <v>0</v>
      </c>
      <c r="J109" s="2816"/>
    </row>
    <row r="110" spans="1:36" ht="12.75">
      <c r="A110" s="3439" t="s">
        <v>2730</v>
      </c>
      <c r="B110" s="3440"/>
      <c r="C110" s="2789" t="str">
        <f>B103</f>
        <v>总价（万元）</v>
      </c>
      <c r="D110" s="2790">
        <f ca="1">H125</f>
        <v>390</v>
      </c>
      <c r="E110" s="1431"/>
      <c r="F110" s="3441" t="s">
        <v>2728</v>
      </c>
      <c r="G110" s="3442"/>
      <c r="H110" s="2791" t="str">
        <f>C115</f>
        <v>总额（万元）</v>
      </c>
      <c r="I110" s="52">
        <f>C40</f>
        <v>0</v>
      </c>
      <c r="J110" s="2816"/>
    </row>
    <row r="111" spans="1:36" ht="12.75">
      <c r="A111" s="3439"/>
      <c r="B111" s="3440"/>
      <c r="C111" s="2789" t="s">
        <v>2731</v>
      </c>
      <c r="D111" s="52">
        <f ca="1">I125</f>
        <v>29011</v>
      </c>
      <c r="E111" s="1431"/>
      <c r="F111" s="3439"/>
      <c r="G111" s="3440"/>
      <c r="H111" s="3473"/>
      <c r="I111" s="3474"/>
      <c r="J111" s="2834"/>
    </row>
    <row r="112" spans="1:36" ht="28.5" customHeight="1">
      <c r="A112" s="3510" t="s">
        <v>2725</v>
      </c>
      <c r="B112" s="3511"/>
      <c r="C112" s="2791" t="str">
        <f>IF(H19="元","总额（元）","总额（万元）")</f>
        <v>总额（万元）</v>
      </c>
      <c r="D112" s="2790">
        <f>IF(D38="正常操作",I108+I109+I110,I109+I110)</f>
        <v>0</v>
      </c>
      <c r="E112" s="1431"/>
      <c r="F112" s="3422" t="str">
        <f>IF(项目基本情况!F5="已注销","——","3.房地产抵押价值")</f>
        <v>3.房地产抵押价值</v>
      </c>
      <c r="G112" s="3423"/>
      <c r="H112" s="1451" t="str">
        <f>C116</f>
        <v>总价（万元）</v>
      </c>
      <c r="I112" s="2790">
        <f ca="1">IF(F112="——","——",I104-I107)</f>
        <v>390</v>
      </c>
      <c r="J112" s="2832"/>
    </row>
    <row r="113" spans="1:27" ht="12.75">
      <c r="A113" s="3441" t="s">
        <v>2732</v>
      </c>
      <c r="B113" s="3442"/>
      <c r="C113" s="2791" t="str">
        <f>C112</f>
        <v>总额（万元）</v>
      </c>
      <c r="D113" s="52">
        <f>IF(D38="同一抵押权人同一抵押物续贷",C38&amp;"（未扣减，详见特别提示）",C38)</f>
        <v>0</v>
      </c>
      <c r="E113" s="1431"/>
      <c r="F113" s="3424"/>
      <c r="G113" s="3425"/>
      <c r="H113" s="2789" t="s">
        <v>2724</v>
      </c>
      <c r="I113" s="2793">
        <f ca="1">D117</f>
        <v>29011</v>
      </c>
      <c r="J113" s="2835"/>
    </row>
    <row r="114" spans="1:27" ht="12.75">
      <c r="A114" s="3441" t="s">
        <v>2733</v>
      </c>
      <c r="B114" s="3442"/>
      <c r="C114" s="2791" t="str">
        <f>C112</f>
        <v>总额（万元）</v>
      </c>
      <c r="D114" s="52">
        <f>C39</f>
        <v>0</v>
      </c>
      <c r="E114" s="1431"/>
      <c r="F114" s="3422" t="str">
        <f>IF(项目基本情况!F5="已注销及未注销","4.抵押担保权已注销时的房地产抵押价值",IF(项目基本情况!F5="已注销","3.抵押担保权已注销时的房地产抵押价值","——"))</f>
        <v>——</v>
      </c>
      <c r="G114" s="3423"/>
      <c r="H114" s="1451" t="str">
        <f>C118</f>
        <v>总价（万元）</v>
      </c>
      <c r="I114" s="2790" t="str">
        <f>IF(F114="——","——",I104-I109-I110)</f>
        <v>——</v>
      </c>
      <c r="J114" s="2832"/>
    </row>
    <row r="115" spans="1:27" ht="12.75">
      <c r="A115" s="3441" t="s">
        <v>2734</v>
      </c>
      <c r="B115" s="3442"/>
      <c r="C115" s="2791" t="str">
        <f>C112</f>
        <v>总额（万元）</v>
      </c>
      <c r="D115" s="52">
        <f>C40</f>
        <v>0</v>
      </c>
      <c r="E115" s="1431"/>
      <c r="F115" s="3424"/>
      <c r="G115" s="3425"/>
      <c r="H115" s="2789" t="s">
        <v>2724</v>
      </c>
      <c r="I115" s="52" t="str">
        <f>D119</f>
        <v>——</v>
      </c>
      <c r="J115" s="2816"/>
    </row>
    <row r="116" spans="1:27" ht="12.75">
      <c r="A116" s="3439" t="str">
        <f>IF(项目基本情况!F5="已注销","——","3.房地产抵押价值")</f>
        <v>3.房地产抵押价值</v>
      </c>
      <c r="B116" s="3440"/>
      <c r="C116" s="2789" t="str">
        <f>B103</f>
        <v>总价（万元）</v>
      </c>
      <c r="D116" s="2790">
        <f ca="1">IF(A116="——","——",D110-D112)</f>
        <v>390</v>
      </c>
      <c r="E116" s="1431"/>
      <c r="F116" s="3422" t="str">
        <f>IF(项目基本情况!G5="抵押净值",IF(OR(项目基本情况!F5="已注销",项目基本情况!F5="房地产抵押价值"),"4.抵押净值","5.抵押净值"),"——")</f>
        <v>——</v>
      </c>
      <c r="G116" s="3423"/>
      <c r="H116" s="2789" t="str">
        <f>C120</f>
        <v>总价（万元）</v>
      </c>
      <c r="I116" s="2790" t="str">
        <f>IF(F116="——","——",O61)</f>
        <v>——</v>
      </c>
      <c r="J116" s="2832"/>
    </row>
    <row r="117" spans="1:27" ht="13.5" thickBot="1">
      <c r="A117" s="3439"/>
      <c r="B117" s="3440"/>
      <c r="C117" s="2789" t="s">
        <v>2731</v>
      </c>
      <c r="D117" s="52">
        <f ca="1">ROUND(IF(D116=D110,D111,IF(H19="元",D116/B125,D116*10000/B125)),0)</f>
        <v>29011</v>
      </c>
      <c r="E117" s="1431"/>
      <c r="F117" s="3502"/>
      <c r="G117" s="3503"/>
      <c r="H117" s="2794" t="s">
        <v>2724</v>
      </c>
      <c r="I117" s="2778" t="str">
        <f ca="1">D121</f>
        <v>——</v>
      </c>
      <c r="J117" s="2816"/>
    </row>
    <row r="118" spans="1:27" ht="15.75">
      <c r="A118" s="3439" t="str">
        <f>IF(项目基本情况!F5="已注销及未注销","4.抵押担保权已注销时的房地产抵押价值",IF(项目基本情况!F5="已注销","3.抵押担保权已注销时的房地产抵押价值","——"))</f>
        <v>——</v>
      </c>
      <c r="B118" s="3440"/>
      <c r="C118" s="2789" t="str">
        <f>B103</f>
        <v>总价（万元）</v>
      </c>
      <c r="D118" s="2790" t="str">
        <f>IF(A118="——","——",D110-D114-D115)</f>
        <v>——</v>
      </c>
      <c r="E118" s="1431"/>
      <c r="F118" s="3417"/>
      <c r="G118" s="3417"/>
      <c r="H118" s="3458"/>
      <c r="I118" s="3458"/>
      <c r="J118" s="2836"/>
      <c r="O118" s="32"/>
      <c r="P118" s="32"/>
    </row>
    <row r="119" spans="1:27" s="1278" customFormat="1" ht="12.75">
      <c r="A119" s="3439"/>
      <c r="B119" s="3440"/>
      <c r="C119" s="2789" t="s">
        <v>2731</v>
      </c>
      <c r="D119" s="52" t="str">
        <f>IF(A118="——","——",IF(H19="元",ROUND(D118/B125,0),ROUND(D118*10000/B125,0)))</f>
        <v>——</v>
      </c>
      <c r="E119" s="1431"/>
      <c r="F119" s="3542" t="str">
        <f>IF(B33="总价","（以上估价结果中楼面单价为总价除以建筑面积得出）","（以上估价结果中总价为楼面单价乘以建筑面积得出）")</f>
        <v>（以上估价结果中总价为楼面单价乘以建筑面积得出）</v>
      </c>
      <c r="G119" s="3542"/>
      <c r="H119" s="3542"/>
      <c r="I119" s="3542"/>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39" t="str">
        <f>IF(项目基本情况!G5="抵押净值",IF(OR(项目基本情况!F5="已注销",项目基本情况!F5="房地产抵押价值"),"4.抵押净值","5.抵押净值"),"——")</f>
        <v>——</v>
      </c>
      <c r="B120" s="3440"/>
      <c r="C120" s="2789" t="str">
        <f>B103</f>
        <v>总价（万元）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08"/>
      <c r="B121" s="3509"/>
      <c r="C121" s="2794" t="s">
        <v>2731</v>
      </c>
      <c r="D121" s="2778" t="str">
        <f ca="1">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59" t="s">
        <v>1855</v>
      </c>
      <c r="B122" s="3460"/>
      <c r="C122" s="3460"/>
      <c r="D122" s="3460"/>
      <c r="E122" s="3460"/>
      <c r="F122" s="3460"/>
      <c r="G122" s="3460"/>
      <c r="H122" s="3460"/>
      <c r="I122" s="3460"/>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2" t="s">
        <v>2735</v>
      </c>
      <c r="B123" s="3430" t="s">
        <v>2736</v>
      </c>
      <c r="C123" s="3430" t="s">
        <v>2742</v>
      </c>
      <c r="D123" s="3437" t="s">
        <v>2737</v>
      </c>
      <c r="E123" s="3438"/>
      <c r="F123" s="3428" t="s">
        <v>2743</v>
      </c>
      <c r="G123" s="3428"/>
      <c r="H123" s="3428" t="s">
        <v>2738</v>
      </c>
      <c r="I123" s="3429"/>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2"/>
      <c r="B124" s="3431"/>
      <c r="C124" s="3431"/>
      <c r="D124" s="2062" t="s">
        <v>2739</v>
      </c>
      <c r="E124" s="2062" t="s">
        <v>2744</v>
      </c>
      <c r="F124" s="2062" t="s">
        <v>2739</v>
      </c>
      <c r="G124" s="2062" t="s">
        <v>2740</v>
      </c>
      <c r="H124" s="2062" t="s">
        <v>2739</v>
      </c>
      <c r="I124" s="52" t="s">
        <v>2740</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134.43</v>
      </c>
      <c r="C125" s="1426"/>
      <c r="D125" s="2062">
        <f>C36</f>
        <v>0</v>
      </c>
      <c r="E125" s="2062">
        <f>ROUND(IF(H19="元",D125/B125,D125*10000/B125),0)</f>
        <v>0</v>
      </c>
      <c r="F125" s="2062">
        <f>C37</f>
        <v>0</v>
      </c>
      <c r="G125" s="2062">
        <f>ROUND(IF(H19="元",F125/B125,F125*10000/B125),0)</f>
        <v>0</v>
      </c>
      <c r="H125" s="2062">
        <f ca="1">C34</f>
        <v>390</v>
      </c>
      <c r="I125" s="52">
        <f ca="1">C35</f>
        <v>29011</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2" t="s">
        <v>2741</v>
      </c>
      <c r="B126" s="3428"/>
      <c r="C126" s="3428"/>
      <c r="D126" s="3463" t="str">
        <f>IF(H19="元",NUMBERSTRING(INT(D125),2)&amp;"元整",NUMBERSTRING(INT(D125*10000),2)&amp;"元整")</f>
        <v>零元整</v>
      </c>
      <c r="E126" s="3464"/>
      <c r="F126" s="3463" t="str">
        <f>IF(H19="元",NUMBERSTRING(INT(F125),2)&amp;"元整",NUMBERSTRING(INT(F125*10000),2)&amp;"元整")</f>
        <v>零元整</v>
      </c>
      <c r="G126" s="3464"/>
      <c r="H126" s="3463" t="str">
        <f ca="1">IF(H19="元",NUMBERSTRING(INT(H125),2)&amp;"元整",NUMBERSTRING(INT(H125*10000),2)&amp;"元整")</f>
        <v>叁佰玖拾万元整</v>
      </c>
      <c r="I126" s="3512"/>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2" t="str">
        <f>IF(项目基本情况!D5="房地产市场价值","——",MID(A112,3,LEN(A112)-2))</f>
        <v>估价师所知悉的法定优先受偿款</v>
      </c>
      <c r="B127" s="3465"/>
      <c r="C127" s="3454"/>
      <c r="D127" s="3456">
        <f>I107</f>
        <v>0</v>
      </c>
      <c r="E127" s="3465"/>
      <c r="F127" s="3465"/>
      <c r="G127" s="3465"/>
      <c r="H127" s="3465"/>
      <c r="I127" s="3453"/>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66" t="s">
        <v>2741</v>
      </c>
      <c r="B128" s="3467"/>
      <c r="C128" s="3468"/>
      <c r="D128" s="3504">
        <f>H111</f>
        <v>0</v>
      </c>
      <c r="E128" s="3505"/>
      <c r="F128" s="3505"/>
      <c r="G128" s="3505"/>
      <c r="H128" s="3505"/>
      <c r="I128" s="3506"/>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39" t="str">
        <f>IF(项目基本情况!D5="房地产市场价值","——",MID(A116,3,LEN(A116)-2))</f>
        <v>房地产抵押价值</v>
      </c>
      <c r="B129" s="3440"/>
      <c r="C129" s="3440"/>
      <c r="D129" s="3456">
        <f ca="1">I112</f>
        <v>390</v>
      </c>
      <c r="E129" s="3465"/>
      <c r="F129" s="3465"/>
      <c r="G129" s="3465"/>
      <c r="H129" s="3465"/>
      <c r="I129" s="3453"/>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2" t="s">
        <v>2741</v>
      </c>
      <c r="B130" s="3428"/>
      <c r="C130" s="3428"/>
      <c r="D130" s="3504">
        <f ca="1">I113</f>
        <v>29011</v>
      </c>
      <c r="E130" s="3505"/>
      <c r="F130" s="3505"/>
      <c r="G130" s="3505"/>
      <c r="H130" s="3505"/>
      <c r="I130" s="3506"/>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39" t="str">
        <f>IF(项目基本情况!D5="房地产市场价值","——",MID(A118,3,LEN(A118)-2))</f>
        <v/>
      </c>
      <c r="B131" s="3440"/>
      <c r="C131" s="3440"/>
      <c r="D131" s="3412" t="str">
        <f>I114</f>
        <v>——</v>
      </c>
      <c r="E131" s="3413"/>
      <c r="F131" s="3413"/>
      <c r="G131" s="3413"/>
      <c r="H131" s="3413"/>
      <c r="I131" s="3414"/>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2" t="s">
        <v>2741</v>
      </c>
      <c r="B132" s="3428"/>
      <c r="C132" s="3479"/>
      <c r="D132" s="3457" t="str">
        <f>I115</f>
        <v>——</v>
      </c>
      <c r="E132" s="3457"/>
      <c r="F132" s="3457"/>
      <c r="G132" s="3457"/>
      <c r="H132" s="3457"/>
      <c r="I132" s="3457"/>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39" t="str">
        <f>IF(项目基本情况!D5="房地产市场价值","——",MID(F116,3,LEN(F116)-2))</f>
        <v/>
      </c>
      <c r="B133" s="3440"/>
      <c r="C133" s="3456"/>
      <c r="D133" s="3507" t="str">
        <f>I116</f>
        <v>——</v>
      </c>
      <c r="E133" s="3507"/>
      <c r="F133" s="3507"/>
      <c r="G133" s="3507"/>
      <c r="H133" s="3507"/>
      <c r="I133" s="3507"/>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95" t="s">
        <v>2741</v>
      </c>
      <c r="B134" s="3496"/>
      <c r="C134" s="3496"/>
      <c r="D134" s="3513">
        <f>H118</f>
        <v>0</v>
      </c>
      <c r="E134" s="3514"/>
      <c r="F134" s="3514"/>
      <c r="G134" s="3514"/>
      <c r="H134" s="3514"/>
      <c r="I134" s="3515"/>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0" t="str">
        <f>IF(B33="总价","（以上估价结果中楼面单价为总价除以建筑面积得出）","（以上估价结果中总价为楼面单价乘以建筑面积得出）")</f>
        <v>（以上估价结果中总价为楼面单价乘以建筑面积得出）</v>
      </c>
      <c r="B136" s="3500"/>
      <c r="C136" s="3500"/>
      <c r="D136" s="3500"/>
      <c r="E136" s="3500"/>
      <c r="F136" s="3500"/>
      <c r="G136" s="3500"/>
      <c r="H136" s="3500"/>
      <c r="I136" s="3500"/>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1818</v>
      </c>
      <c r="B137" s="1462"/>
      <c r="C137" s="1463" t="s">
        <v>1819</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1820</v>
      </c>
      <c r="G143" s="1475"/>
      <c r="H143" s="1475"/>
      <c r="I143" s="1476" t="s">
        <v>1821</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1822</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1823</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1824</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1823</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90" zoomScaleNormal="60" zoomScaleSheetLayoutView="90" workbookViewId="0">
      <selection activeCell="K33" sqref="K3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2325</v>
      </c>
      <c r="C1" s="1609" t="s">
        <v>2690</v>
      </c>
      <c r="D1" s="1608"/>
      <c r="E1" s="1611" t="s">
        <v>2688</v>
      </c>
      <c r="F1" s="1612" t="s">
        <v>2185</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1857</v>
      </c>
      <c r="B2" s="1620">
        <f>IF(D2="——",IF(C2="元",ROUND(C50*D3,0),ROUND(C50*D3/10000,0)),IF(C2="元",ROUND(C50*D3,0),ROUND(C50*D3/10000,0))-E2)</f>
        <v>409</v>
      </c>
      <c r="C2" s="1621" t="str">
        <f>'数据-取费表'!B3</f>
        <v>万元</v>
      </c>
      <c r="D2" s="1622" t="s">
        <v>1184</v>
      </c>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1858</v>
      </c>
      <c r="B3" s="1933">
        <f>ROUND(IF(D2="——",C50,IF(C2="万元",B2*10000/D3,B2/D3)),0)</f>
        <v>30412</v>
      </c>
      <c r="C3" s="1630" t="s">
        <v>2186</v>
      </c>
      <c r="D3" s="1630">
        <f>IF(C1="仅计算典型户型",'数据-取费表'!E5,'数据-取费表'!B5)</f>
        <v>134.43</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2187</v>
      </c>
      <c r="B4" s="1634"/>
      <c r="C4" s="3557" t="s">
        <v>2188</v>
      </c>
      <c r="D4" s="3558"/>
      <c r="E4" s="3559" t="s">
        <v>2189</v>
      </c>
      <c r="F4" s="3560"/>
      <c r="G4" s="3557" t="s">
        <v>2190</v>
      </c>
      <c r="H4" s="3558"/>
      <c r="I4" s="3557" t="s">
        <v>2191</v>
      </c>
      <c r="J4" s="3558"/>
      <c r="K4" s="1936" t="s">
        <v>2192</v>
      </c>
      <c r="L4" s="2967"/>
      <c r="M4" s="2968"/>
      <c r="N4" s="2968"/>
      <c r="O4" s="2968"/>
      <c r="P4" s="3561" t="s">
        <v>2193</v>
      </c>
      <c r="Q4" s="3562"/>
      <c r="R4" s="3567" t="s">
        <v>2189</v>
      </c>
      <c r="S4" s="3568"/>
      <c r="T4" s="3567" t="s">
        <v>2190</v>
      </c>
      <c r="U4" s="3568"/>
      <c r="V4" s="3573" t="s">
        <v>2191</v>
      </c>
      <c r="W4" s="3573"/>
      <c r="X4" s="2045"/>
      <c r="Y4" s="3567" t="s">
        <v>2193</v>
      </c>
      <c r="Z4" s="3568"/>
      <c r="AA4" s="3554" t="s">
        <v>2189</v>
      </c>
      <c r="AB4" s="3554" t="s">
        <v>2190</v>
      </c>
      <c r="AC4" s="3554" t="s">
        <v>2191</v>
      </c>
    </row>
    <row r="5" spans="1:29" ht="15">
      <c r="A5" s="1638"/>
      <c r="B5" s="1639"/>
      <c r="C5" s="3550" t="s">
        <v>2194</v>
      </c>
      <c r="D5" s="3551"/>
      <c r="E5" s="3718" t="s">
        <v>3040</v>
      </c>
      <c r="F5" s="3575"/>
      <c r="G5" s="3719" t="s">
        <v>3040</v>
      </c>
      <c r="H5" s="3551"/>
      <c r="I5" s="3719" t="s">
        <v>3040</v>
      </c>
      <c r="J5" s="3551"/>
      <c r="K5" s="1936"/>
      <c r="L5" s="2967"/>
      <c r="M5" s="2968"/>
      <c r="N5" s="2968"/>
      <c r="O5" s="2968"/>
      <c r="P5" s="3563"/>
      <c r="Q5" s="3564"/>
      <c r="R5" s="3569"/>
      <c r="S5" s="3570"/>
      <c r="T5" s="3569"/>
      <c r="U5" s="3570"/>
      <c r="V5" s="3573"/>
      <c r="W5" s="3573"/>
      <c r="X5" s="2045"/>
      <c r="Y5" s="3569"/>
      <c r="Z5" s="3570"/>
      <c r="AA5" s="3555"/>
      <c r="AB5" s="3555"/>
      <c r="AC5" s="3555"/>
    </row>
    <row r="6" spans="1:29" ht="15.75" thickBot="1">
      <c r="A6" s="1641"/>
      <c r="B6" s="1642"/>
      <c r="C6" s="3547" t="s">
        <v>2198</v>
      </c>
      <c r="D6" s="3548"/>
      <c r="E6" s="3545" t="s">
        <v>2198</v>
      </c>
      <c r="F6" s="3546"/>
      <c r="G6" s="3547" t="s">
        <v>2198</v>
      </c>
      <c r="H6" s="3548"/>
      <c r="I6" s="3547" t="s">
        <v>2198</v>
      </c>
      <c r="J6" s="3548"/>
      <c r="K6" s="1936" t="s">
        <v>2199</v>
      </c>
      <c r="L6" s="2967"/>
      <c r="M6" s="2968"/>
      <c r="N6" s="2968"/>
      <c r="O6" s="2968"/>
      <c r="P6" s="3565"/>
      <c r="Q6" s="3566"/>
      <c r="R6" s="3569"/>
      <c r="S6" s="3570"/>
      <c r="T6" s="3571"/>
      <c r="U6" s="3572"/>
      <c r="V6" s="3573"/>
      <c r="W6" s="3573"/>
      <c r="X6" s="2045"/>
      <c r="Y6" s="3571"/>
      <c r="Z6" s="3572"/>
      <c r="AA6" s="3556"/>
      <c r="AB6" s="3556"/>
      <c r="AC6" s="3556"/>
    </row>
    <row r="7" spans="1:29" s="1655" customFormat="1" ht="15.75" thickBot="1">
      <c r="A7" s="1643" t="s">
        <v>2200</v>
      </c>
      <c r="B7" s="1644"/>
      <c r="C7" s="1645">
        <f>'数据-取费表'!B2</f>
        <v>44553</v>
      </c>
      <c r="D7" s="1646">
        <v>100</v>
      </c>
      <c r="E7" s="1647">
        <f>C7</f>
        <v>44553</v>
      </c>
      <c r="F7" s="1648">
        <f>SUMIF(59:59,YEAR(E7)&amp;"-"&amp;MONTH(E7),60:60)</f>
        <v>100</v>
      </c>
      <c r="G7" s="1937">
        <f>C7</f>
        <v>44553</v>
      </c>
      <c r="H7" s="1646">
        <f>SUMIF(59:59,YEAR(G7)&amp;"-"&amp;MONTH(G7),60:60)</f>
        <v>100</v>
      </c>
      <c r="I7" s="1937">
        <f>C7</f>
        <v>44553</v>
      </c>
      <c r="J7" s="1646">
        <f>SUMIF(59:59,YEAR(I7)&amp;"-"&amp;MONTH(I7),60:60)</f>
        <v>100</v>
      </c>
      <c r="K7" s="1938"/>
      <c r="L7" s="2967"/>
      <c r="M7" s="2940"/>
      <c r="N7" s="2940"/>
      <c r="O7" s="2940"/>
      <c r="P7" s="3552" t="s">
        <v>2201</v>
      </c>
      <c r="Q7" s="3576"/>
      <c r="R7" s="1651" t="s">
        <v>25</v>
      </c>
      <c r="S7" s="1652">
        <f t="shared" ref="S7:S15" si="0">F7</f>
        <v>100</v>
      </c>
      <c r="T7" s="1651" t="s">
        <v>25</v>
      </c>
      <c r="U7" s="1652">
        <f t="shared" ref="U7:U15" si="1">H7</f>
        <v>100</v>
      </c>
      <c r="V7" s="1651" t="s">
        <v>25</v>
      </c>
      <c r="W7" s="1652">
        <f t="shared" ref="W7:W15" si="2">J7</f>
        <v>100</v>
      </c>
      <c r="X7" s="1653"/>
      <c r="Y7" s="3552" t="s">
        <v>2201</v>
      </c>
      <c r="Z7" s="3553"/>
      <c r="AA7" s="1654">
        <f>D7/F7</f>
        <v>1</v>
      </c>
      <c r="AB7" s="1654">
        <f>D7/H7</f>
        <v>1</v>
      </c>
      <c r="AC7" s="1654">
        <f>D7/J7</f>
        <v>1</v>
      </c>
    </row>
    <row r="8" spans="1:29" s="1655" customFormat="1" ht="15.75" thickBot="1">
      <c r="A8" s="1643" t="s">
        <v>2202</v>
      </c>
      <c r="B8" s="1644"/>
      <c r="C8" s="1656" t="s">
        <v>2203</v>
      </c>
      <c r="D8" s="1646">
        <v>100</v>
      </c>
      <c r="E8" s="1656" t="s">
        <v>2826</v>
      </c>
      <c r="F8" s="1648">
        <f>SUMIF(62:62,E8,63:63)-SUMIF(62:62,C8,63:63)+100</f>
        <v>100</v>
      </c>
      <c r="G8" s="1656" t="s">
        <v>2826</v>
      </c>
      <c r="H8" s="1646">
        <f>SUMIF(62:62,G8,63:63)-SUMIF(62:62,C8,63:63)+100</f>
        <v>100</v>
      </c>
      <c r="I8" s="1656" t="s">
        <v>2826</v>
      </c>
      <c r="J8" s="1646">
        <f>SUMIF(62:62,I8,63:63)-SUMIF(62:62,C8,63:63)+100</f>
        <v>100</v>
      </c>
      <c r="K8" s="1938"/>
      <c r="L8" s="2967"/>
      <c r="M8" s="2940"/>
      <c r="N8" s="2940"/>
      <c r="O8" s="2940"/>
      <c r="P8" s="3552" t="s">
        <v>2204</v>
      </c>
      <c r="Q8" s="3553"/>
      <c r="R8" s="1651" t="s">
        <v>25</v>
      </c>
      <c r="S8" s="1652">
        <f t="shared" si="0"/>
        <v>100</v>
      </c>
      <c r="T8" s="1651" t="s">
        <v>25</v>
      </c>
      <c r="U8" s="1652">
        <f t="shared" si="1"/>
        <v>100</v>
      </c>
      <c r="V8" s="1651" t="s">
        <v>25</v>
      </c>
      <c r="W8" s="1652">
        <f t="shared" si="2"/>
        <v>100</v>
      </c>
      <c r="X8" s="1653"/>
      <c r="Y8" s="3552" t="s">
        <v>2204</v>
      </c>
      <c r="Z8" s="3553"/>
      <c r="AA8" s="1654">
        <f t="shared" ref="AA8:AA47" si="3">D8/F8</f>
        <v>1</v>
      </c>
      <c r="AB8" s="1654">
        <f t="shared" ref="AB8:AB47" si="4">D8/H8</f>
        <v>1</v>
      </c>
      <c r="AC8" s="1654">
        <f t="shared" ref="AC8:AC47" si="5">D8/J8</f>
        <v>1</v>
      </c>
    </row>
    <row r="9" spans="1:29" s="1655" customFormat="1" ht="15">
      <c r="A9" s="2037" t="s">
        <v>2205</v>
      </c>
      <c r="B9" s="1658" t="s">
        <v>2206</v>
      </c>
      <c r="C9" s="3711" t="s">
        <v>3014</v>
      </c>
      <c r="D9" s="1660">
        <v>100</v>
      </c>
      <c r="E9" s="1663" t="s">
        <v>2987</v>
      </c>
      <c r="F9" s="1660">
        <f>SUMIF(64:64,E9,65:65)-SUMIF(64:64,C9,65:65)+100</f>
        <v>100</v>
      </c>
      <c r="G9" s="1661" t="s">
        <v>2987</v>
      </c>
      <c r="H9" s="1660">
        <f>SUMIF(64:64,G9,65:65)-SUMIF(64:64,C9,65:65)+100</f>
        <v>100</v>
      </c>
      <c r="I9" s="1661" t="s">
        <v>2987</v>
      </c>
      <c r="J9" s="1660">
        <f>SUMIF(64:64,I9,65:65)-SUMIF(64:64,C9,65:65)+100</f>
        <v>100</v>
      </c>
      <c r="K9" s="1938"/>
      <c r="L9" s="2967"/>
      <c r="M9" s="2940"/>
      <c r="N9" s="2940"/>
      <c r="O9" s="2940"/>
      <c r="P9" s="3549" t="s">
        <v>2207</v>
      </c>
      <c r="Q9" s="2885" t="str">
        <f t="shared" ref="Q9:Q15" si="6">B9</f>
        <v>用途</v>
      </c>
      <c r="R9" s="1651" t="s">
        <v>25</v>
      </c>
      <c r="S9" s="1652">
        <f t="shared" si="0"/>
        <v>100</v>
      </c>
      <c r="T9" s="1651" t="s">
        <v>25</v>
      </c>
      <c r="U9" s="1652">
        <f t="shared" si="1"/>
        <v>100</v>
      </c>
      <c r="V9" s="1651" t="s">
        <v>25</v>
      </c>
      <c r="W9" s="1652">
        <f t="shared" si="2"/>
        <v>100</v>
      </c>
      <c r="X9" s="1653"/>
      <c r="Y9" s="3478" t="s">
        <v>2208</v>
      </c>
      <c r="Z9" s="1664" t="str">
        <f t="shared" ref="Z9:Z15" si="7">Q9</f>
        <v>用途</v>
      </c>
      <c r="AA9" s="1654">
        <f t="shared" si="3"/>
        <v>1</v>
      </c>
      <c r="AB9" s="1654">
        <f t="shared" si="4"/>
        <v>1</v>
      </c>
      <c r="AC9" s="1654">
        <f t="shared" si="5"/>
        <v>1</v>
      </c>
    </row>
    <row r="10" spans="1:29" s="1672" customFormat="1" ht="27">
      <c r="A10" s="1665"/>
      <c r="B10" s="1666" t="s">
        <v>2209</v>
      </c>
      <c r="C10" s="1667" t="s">
        <v>3015</v>
      </c>
      <c r="D10" s="1668">
        <v>100</v>
      </c>
      <c r="E10" s="1667" t="s">
        <v>3015</v>
      </c>
      <c r="F10" s="1668">
        <f>SUMIF(66:66,E10,67:67)-SUMIF(66:66,C10,67:67)+100</f>
        <v>100</v>
      </c>
      <c r="G10" s="1669" t="s">
        <v>3015</v>
      </c>
      <c r="H10" s="1668">
        <f>SUMIF(66:66,G10,67:67)-SUMIF(66:66,C10,67:67)+100</f>
        <v>100</v>
      </c>
      <c r="I10" s="1667" t="s">
        <v>3015</v>
      </c>
      <c r="J10" s="1668">
        <f>SUMIF(66:66,I10,67:67)-SUMIF(66:66,C10,67:67)+100</f>
        <v>100</v>
      </c>
      <c r="K10" s="1963">
        <v>2</v>
      </c>
      <c r="L10" s="2969"/>
      <c r="M10" s="2970"/>
      <c r="N10" s="2970"/>
      <c r="O10" s="2970"/>
      <c r="P10" s="3549"/>
      <c r="Q10" s="2885" t="str">
        <f t="shared" si="6"/>
        <v>土地使用年限（年）</v>
      </c>
      <c r="R10" s="1651" t="s">
        <v>25</v>
      </c>
      <c r="S10" s="1652">
        <f t="shared" si="0"/>
        <v>100</v>
      </c>
      <c r="T10" s="1651" t="s">
        <v>25</v>
      </c>
      <c r="U10" s="1652">
        <f t="shared" si="1"/>
        <v>100</v>
      </c>
      <c r="V10" s="1651" t="s">
        <v>25</v>
      </c>
      <c r="W10" s="1652">
        <f t="shared" si="2"/>
        <v>100</v>
      </c>
      <c r="X10" s="1653"/>
      <c r="Y10" s="3478"/>
      <c r="Z10" s="1664" t="str">
        <f t="shared" si="7"/>
        <v>土地使用年限（年）</v>
      </c>
      <c r="AA10" s="1654">
        <f t="shared" si="3"/>
        <v>1</v>
      </c>
      <c r="AB10" s="1654">
        <f t="shared" si="4"/>
        <v>1</v>
      </c>
      <c r="AC10" s="1654">
        <f t="shared" si="5"/>
        <v>1</v>
      </c>
    </row>
    <row r="11" spans="1:29" ht="15">
      <c r="A11" s="1673"/>
      <c r="B11" s="1666" t="s">
        <v>2210</v>
      </c>
      <c r="C11" s="1674"/>
      <c r="D11" s="1668">
        <v>100</v>
      </c>
      <c r="E11" s="1674"/>
      <c r="F11" s="1668">
        <f>LOOKUP(E11,69:69,70:70)-LOOKUP(C11,69:69,70:70)+100</f>
        <v>100</v>
      </c>
      <c r="G11" s="1675"/>
      <c r="H11" s="1668">
        <f>LOOKUP(G11,69:69,70:70)-LOOKUP(C11,69:69,70:70)+100</f>
        <v>100</v>
      </c>
      <c r="I11" s="1674"/>
      <c r="J11" s="1668">
        <f>LOOKUP(I11,69:69,70:70)-LOOKUP(C11,69:69,70:70)+100</f>
        <v>100</v>
      </c>
      <c r="K11" s="1963"/>
      <c r="L11" s="2971"/>
      <c r="M11" s="2968"/>
      <c r="N11" s="2968"/>
      <c r="O11" s="2968"/>
      <c r="P11" s="3549"/>
      <c r="Q11" s="2885" t="str">
        <f t="shared" si="6"/>
        <v>容积率</v>
      </c>
      <c r="R11" s="1651" t="s">
        <v>25</v>
      </c>
      <c r="S11" s="1652">
        <f t="shared" si="0"/>
        <v>100</v>
      </c>
      <c r="T11" s="1651" t="s">
        <v>25</v>
      </c>
      <c r="U11" s="1652">
        <f t="shared" si="1"/>
        <v>100</v>
      </c>
      <c r="V11" s="1651" t="s">
        <v>25</v>
      </c>
      <c r="W11" s="1652">
        <f t="shared" si="2"/>
        <v>100</v>
      </c>
      <c r="X11" s="1653"/>
      <c r="Y11" s="3478"/>
      <c r="Z11" s="1664" t="str">
        <f t="shared" si="7"/>
        <v>容积率</v>
      </c>
      <c r="AA11" s="1654">
        <f t="shared" si="3"/>
        <v>1</v>
      </c>
      <c r="AB11" s="1654">
        <f t="shared" si="4"/>
        <v>1</v>
      </c>
      <c r="AC11" s="1654">
        <f t="shared" si="5"/>
        <v>1</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549"/>
      <c r="Q12" s="2885">
        <f t="shared" si="6"/>
        <v>111</v>
      </c>
      <c r="R12" s="1651" t="s">
        <v>25</v>
      </c>
      <c r="S12" s="1652">
        <f t="shared" si="0"/>
        <v>100</v>
      </c>
      <c r="T12" s="1651" t="s">
        <v>25</v>
      </c>
      <c r="U12" s="1652">
        <f t="shared" si="1"/>
        <v>100</v>
      </c>
      <c r="V12" s="1651" t="s">
        <v>25</v>
      </c>
      <c r="W12" s="1652">
        <f t="shared" si="2"/>
        <v>100</v>
      </c>
      <c r="X12" s="1653"/>
      <c r="Y12" s="3478"/>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549"/>
      <c r="Q13" s="2885">
        <f t="shared" si="6"/>
        <v>111</v>
      </c>
      <c r="R13" s="1651" t="s">
        <v>25</v>
      </c>
      <c r="S13" s="1652">
        <f t="shared" si="0"/>
        <v>100</v>
      </c>
      <c r="T13" s="1651" t="s">
        <v>25</v>
      </c>
      <c r="U13" s="1652">
        <f t="shared" si="1"/>
        <v>100</v>
      </c>
      <c r="V13" s="1651" t="s">
        <v>25</v>
      </c>
      <c r="W13" s="1652">
        <f t="shared" si="2"/>
        <v>100</v>
      </c>
      <c r="X13" s="1653"/>
      <c r="Y13" s="3478"/>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549"/>
      <c r="Q14" s="2885">
        <f t="shared" si="6"/>
        <v>111</v>
      </c>
      <c r="R14" s="1651" t="s">
        <v>25</v>
      </c>
      <c r="S14" s="1652">
        <f t="shared" si="0"/>
        <v>100</v>
      </c>
      <c r="T14" s="1651" t="s">
        <v>25</v>
      </c>
      <c r="U14" s="1652">
        <f t="shared" si="1"/>
        <v>100</v>
      </c>
      <c r="V14" s="1651" t="s">
        <v>25</v>
      </c>
      <c r="W14" s="1652">
        <f t="shared" si="2"/>
        <v>100</v>
      </c>
      <c r="X14" s="1653"/>
      <c r="Y14" s="3478"/>
      <c r="Z14" s="1664">
        <f t="shared" si="7"/>
        <v>111</v>
      </c>
      <c r="AA14" s="1654">
        <f t="shared" si="3"/>
        <v>1</v>
      </c>
      <c r="AB14" s="1654">
        <f t="shared" si="4"/>
        <v>1</v>
      </c>
      <c r="AC14" s="1654">
        <f t="shared" si="5"/>
        <v>1</v>
      </c>
    </row>
    <row r="15" spans="1:29" ht="71.25">
      <c r="A15" s="1688" t="s">
        <v>2211</v>
      </c>
      <c r="B15" s="2463" t="s">
        <v>2326</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577" t="s">
        <v>2212</v>
      </c>
      <c r="Q15" s="2886" t="str">
        <f t="shared" si="6"/>
        <v>办公集聚程度</v>
      </c>
      <c r="R15" s="1696" t="s">
        <v>25</v>
      </c>
      <c r="S15" s="1697">
        <f t="shared" si="0"/>
        <v>100</v>
      </c>
      <c r="T15" s="1696" t="s">
        <v>25</v>
      </c>
      <c r="U15" s="1697">
        <f t="shared" si="1"/>
        <v>100</v>
      </c>
      <c r="V15" s="1696" t="s">
        <v>25</v>
      </c>
      <c r="W15" s="1697">
        <f t="shared" si="2"/>
        <v>100</v>
      </c>
      <c r="X15" s="2045"/>
      <c r="Y15" s="3577" t="s">
        <v>2212</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578"/>
      <c r="Q16" s="2886"/>
      <c r="R16" s="1696"/>
      <c r="S16" s="1697"/>
      <c r="T16" s="1696"/>
      <c r="U16" s="1697"/>
      <c r="V16" s="1696"/>
      <c r="W16" s="1697"/>
      <c r="X16" s="2045"/>
      <c r="Y16" s="3578"/>
      <c r="Z16" s="2049"/>
      <c r="AA16" s="2040">
        <v>1</v>
      </c>
      <c r="AB16" s="2040">
        <v>1</v>
      </c>
      <c r="AC16" s="2040">
        <v>1</v>
      </c>
    </row>
    <row r="17" spans="1:29" ht="85.5">
      <c r="A17" s="1673"/>
      <c r="B17" s="2465" t="s">
        <v>1649</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578"/>
      <c r="Q17" s="2886" t="str">
        <f>B17</f>
        <v>交通便捷度</v>
      </c>
      <c r="R17" s="1696" t="s">
        <v>25</v>
      </c>
      <c r="S17" s="1697">
        <f>F17</f>
        <v>100</v>
      </c>
      <c r="T17" s="1696" t="s">
        <v>25</v>
      </c>
      <c r="U17" s="1697">
        <f>H17</f>
        <v>100</v>
      </c>
      <c r="V17" s="1696" t="s">
        <v>25</v>
      </c>
      <c r="W17" s="1697">
        <f>J17</f>
        <v>100</v>
      </c>
      <c r="X17" s="2045"/>
      <c r="Y17" s="3578"/>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578"/>
      <c r="Q18" s="2886"/>
      <c r="R18" s="1696"/>
      <c r="S18" s="1697"/>
      <c r="T18" s="1696"/>
      <c r="U18" s="1697"/>
      <c r="V18" s="1696"/>
      <c r="W18" s="1697"/>
      <c r="X18" s="2045"/>
      <c r="Y18" s="3578"/>
      <c r="Z18" s="2049"/>
      <c r="AA18" s="2040">
        <v>1</v>
      </c>
      <c r="AB18" s="2040">
        <v>1</v>
      </c>
      <c r="AC18" s="2040">
        <v>1</v>
      </c>
    </row>
    <row r="19" spans="1:29" ht="42.75">
      <c r="A19" s="1673"/>
      <c r="B19" s="2465" t="s">
        <v>2327</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578"/>
      <c r="Q19" s="2886" t="str">
        <f>B19</f>
        <v>公共配套设施</v>
      </c>
      <c r="R19" s="1696" t="s">
        <v>25</v>
      </c>
      <c r="S19" s="1697">
        <f>F19</f>
        <v>100</v>
      </c>
      <c r="T19" s="1696" t="s">
        <v>25</v>
      </c>
      <c r="U19" s="1697">
        <f>H19</f>
        <v>100</v>
      </c>
      <c r="V19" s="1696" t="s">
        <v>25</v>
      </c>
      <c r="W19" s="1697">
        <f>J19</f>
        <v>100</v>
      </c>
      <c r="X19" s="2045"/>
      <c r="Y19" s="3578"/>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578"/>
      <c r="Q20" s="2886"/>
      <c r="R20" s="1696"/>
      <c r="S20" s="1697"/>
      <c r="T20" s="1696"/>
      <c r="U20" s="1697"/>
      <c r="V20" s="1696"/>
      <c r="W20" s="1697"/>
      <c r="X20" s="2045"/>
      <c r="Y20" s="3578"/>
      <c r="Z20" s="2049"/>
      <c r="AA20" s="2040">
        <v>1</v>
      </c>
      <c r="AB20" s="2040">
        <v>1</v>
      </c>
      <c r="AC20" s="2040">
        <v>1</v>
      </c>
    </row>
    <row r="21" spans="1:29" ht="28.5">
      <c r="A21" s="1673"/>
      <c r="B21" s="2467" t="s">
        <v>2328</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578"/>
      <c r="Q21" s="2886" t="str">
        <f>B21</f>
        <v>基础设施水平</v>
      </c>
      <c r="R21" s="1696" t="s">
        <v>25</v>
      </c>
      <c r="S21" s="1697">
        <f>F21</f>
        <v>100</v>
      </c>
      <c r="T21" s="1696" t="s">
        <v>25</v>
      </c>
      <c r="U21" s="1697">
        <f>H21</f>
        <v>100</v>
      </c>
      <c r="V21" s="1696" t="s">
        <v>25</v>
      </c>
      <c r="W21" s="1697">
        <f>J21</f>
        <v>100</v>
      </c>
      <c r="X21" s="2045"/>
      <c r="Y21" s="3578"/>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578"/>
      <c r="Q22" s="2886"/>
      <c r="R22" s="1696"/>
      <c r="S22" s="1697"/>
      <c r="T22" s="1696"/>
      <c r="U22" s="1697"/>
      <c r="V22" s="1696"/>
      <c r="W22" s="1697"/>
      <c r="X22" s="2045"/>
      <c r="Y22" s="3578"/>
      <c r="Z22" s="2049"/>
      <c r="AA22" s="2040">
        <v>1</v>
      </c>
      <c r="AB22" s="2040">
        <v>1</v>
      </c>
      <c r="AC22" s="2040">
        <v>1</v>
      </c>
    </row>
    <row r="23" spans="1:29" ht="57">
      <c r="A23" s="1673"/>
      <c r="B23" s="2465" t="s">
        <v>2329</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578"/>
      <c r="Q23" s="2886" t="str">
        <f>B23</f>
        <v>环境质量</v>
      </c>
      <c r="R23" s="1696" t="s">
        <v>25</v>
      </c>
      <c r="S23" s="1697">
        <f>F23</f>
        <v>100</v>
      </c>
      <c r="T23" s="1696" t="s">
        <v>25</v>
      </c>
      <c r="U23" s="1697">
        <f>H23</f>
        <v>100</v>
      </c>
      <c r="V23" s="1696" t="s">
        <v>25</v>
      </c>
      <c r="W23" s="1697">
        <f>J23</f>
        <v>100</v>
      </c>
      <c r="X23" s="2045"/>
      <c r="Y23" s="3578"/>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578"/>
      <c r="Q24" s="2886"/>
      <c r="R24" s="1696"/>
      <c r="S24" s="1697"/>
      <c r="T24" s="1696"/>
      <c r="U24" s="1697"/>
      <c r="V24" s="1696"/>
      <c r="W24" s="1697"/>
      <c r="X24" s="2045"/>
      <c r="Y24" s="3578"/>
      <c r="Z24" s="2049"/>
      <c r="AA24" s="2040">
        <v>1</v>
      </c>
      <c r="AB24" s="2040">
        <v>1</v>
      </c>
      <c r="AC24" s="2040">
        <v>1</v>
      </c>
    </row>
    <row r="25" spans="1:29" ht="27">
      <c r="A25" s="1638"/>
      <c r="B25" s="2465" t="s">
        <v>2330</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578"/>
      <c r="Q25" s="2886" t="str">
        <f>B25</f>
        <v>毗邻道路的类型与等级</v>
      </c>
      <c r="R25" s="1696" t="s">
        <v>25</v>
      </c>
      <c r="S25" s="1697">
        <f>F25</f>
        <v>100</v>
      </c>
      <c r="T25" s="1696" t="s">
        <v>25</v>
      </c>
      <c r="U25" s="1697">
        <f>H25</f>
        <v>100</v>
      </c>
      <c r="V25" s="1696" t="s">
        <v>25</v>
      </c>
      <c r="W25" s="1697">
        <f>J25</f>
        <v>100</v>
      </c>
      <c r="X25" s="2045"/>
      <c r="Y25" s="3578"/>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578"/>
      <c r="Q26" s="2886"/>
      <c r="R26" s="1696"/>
      <c r="S26" s="1697"/>
      <c r="T26" s="1696"/>
      <c r="U26" s="1697"/>
      <c r="V26" s="1696"/>
      <c r="W26" s="1697"/>
      <c r="X26" s="2045"/>
      <c r="Y26" s="3578"/>
      <c r="Z26" s="2049"/>
      <c r="AA26" s="2040">
        <v>1</v>
      </c>
      <c r="AB26" s="2040">
        <v>1</v>
      </c>
      <c r="AC26" s="2040">
        <v>1</v>
      </c>
    </row>
    <row r="27" spans="1:29" ht="15">
      <c r="A27" s="1673"/>
      <c r="B27" s="2466" t="s">
        <v>2303</v>
      </c>
      <c r="C27" s="1954" t="s">
        <v>3024</v>
      </c>
      <c r="D27" s="1682">
        <v>100</v>
      </c>
      <c r="E27" s="1962" t="s">
        <v>3024</v>
      </c>
      <c r="F27" s="1682">
        <f>SUMIF(89:89,E27,90:90)-SUMIF(89:89,C27,90:90)+100</f>
        <v>100</v>
      </c>
      <c r="G27" s="1954" t="s">
        <v>3024</v>
      </c>
      <c r="H27" s="1682">
        <f>SUMIF(89:89,G27,90:90)-SUMIF(89:89,C27,90:90)+100</f>
        <v>100</v>
      </c>
      <c r="I27" s="1962" t="s">
        <v>3024</v>
      </c>
      <c r="J27" s="1682">
        <f>SUMIF(89:89,I27,90:90)-SUMIF(89:89,C27,90:90)+100</f>
        <v>100</v>
      </c>
      <c r="K27" s="1963">
        <v>2</v>
      </c>
      <c r="L27" s="2972"/>
      <c r="M27" s="2968"/>
      <c r="N27" s="2968"/>
      <c r="O27" s="2968"/>
      <c r="P27" s="3578"/>
      <c r="Q27" s="2886" t="str">
        <f t="shared" ref="Q27:Q47" si="11">B27</f>
        <v>楼层</v>
      </c>
      <c r="R27" s="1696" t="s">
        <v>25</v>
      </c>
      <c r="S27" s="1697">
        <f>F27</f>
        <v>100</v>
      </c>
      <c r="T27" s="1696" t="s">
        <v>25</v>
      </c>
      <c r="U27" s="1697">
        <f>H27</f>
        <v>100</v>
      </c>
      <c r="V27" s="1696" t="s">
        <v>25</v>
      </c>
      <c r="W27" s="1697">
        <f>J27</f>
        <v>100</v>
      </c>
      <c r="X27" s="2045"/>
      <c r="Y27" s="3578"/>
      <c r="Z27" s="2049" t="str">
        <f>Q27</f>
        <v>楼层</v>
      </c>
      <c r="AA27" s="2040">
        <f t="shared" si="3"/>
        <v>1</v>
      </c>
      <c r="AB27" s="2040">
        <f t="shared" si="4"/>
        <v>1</v>
      </c>
      <c r="AC27" s="2040">
        <f t="shared" si="5"/>
        <v>1</v>
      </c>
    </row>
    <row r="28" spans="1:29" s="1655" customFormat="1" ht="15.75" thickBot="1">
      <c r="A28" s="1676"/>
      <c r="B28" s="2465" t="s">
        <v>2331</v>
      </c>
      <c r="C28" s="2469" t="s">
        <v>3037</v>
      </c>
      <c r="D28" s="1727">
        <v>100</v>
      </c>
      <c r="E28" s="2447" t="str">
        <f>案例!E2</f>
        <v>东南</v>
      </c>
      <c r="F28" s="1727">
        <f>SUMIF(91:91,E28,92:92)-SUMIF(91:91,C28,92:92)+100</f>
        <v>101</v>
      </c>
      <c r="G28" s="2469" t="str">
        <f>案例!E3</f>
        <v>西</v>
      </c>
      <c r="H28" s="1727">
        <f>SUMIF(91:91,G28,92:92)-SUMIF(91:91,C28,92:92)+100</f>
        <v>98</v>
      </c>
      <c r="I28" s="2447" t="str">
        <f>案例!E4</f>
        <v>东南</v>
      </c>
      <c r="J28" s="1727">
        <f>SUMIF(91:91,I28,92:92)-SUMIF(91:91,C28,92:92)+100</f>
        <v>101</v>
      </c>
      <c r="K28" s="1963">
        <v>0.5</v>
      </c>
      <c r="L28" s="2967"/>
      <c r="M28" s="2940"/>
      <c r="N28" s="2940"/>
      <c r="O28" s="2940"/>
      <c r="P28" s="3578"/>
      <c r="Q28" s="2885" t="str">
        <f t="shared" si="11"/>
        <v>朝向</v>
      </c>
      <c r="R28" s="1651" t="s">
        <v>25</v>
      </c>
      <c r="S28" s="1652">
        <f>F28</f>
        <v>101</v>
      </c>
      <c r="T28" s="1651" t="s">
        <v>25</v>
      </c>
      <c r="U28" s="1652">
        <f>H28</f>
        <v>98</v>
      </c>
      <c r="V28" s="1651" t="s">
        <v>25</v>
      </c>
      <c r="W28" s="1652">
        <f>J28</f>
        <v>101</v>
      </c>
      <c r="X28" s="1653"/>
      <c r="Y28" s="3578"/>
      <c r="Z28" s="1664" t="str">
        <f>Q28</f>
        <v>朝向</v>
      </c>
      <c r="AA28" s="2040">
        <f>D28/F28</f>
        <v>0.99009900990099009</v>
      </c>
      <c r="AB28" s="2040">
        <f>D28/H28</f>
        <v>1.0204081632653061</v>
      </c>
      <c r="AC28" s="2040">
        <f>D28/J28</f>
        <v>0.99009900990099009</v>
      </c>
    </row>
    <row r="29" spans="1:29" ht="15" hidden="1">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578"/>
      <c r="Q29" s="2886">
        <f t="shared" si="11"/>
        <v>111</v>
      </c>
      <c r="R29" s="1696" t="s">
        <v>25</v>
      </c>
      <c r="S29" s="1697">
        <f t="shared" ref="S29:S47" si="12">F29</f>
        <v>100</v>
      </c>
      <c r="T29" s="1696" t="s">
        <v>25</v>
      </c>
      <c r="U29" s="1697">
        <f t="shared" ref="U29:U47" si="13">H29</f>
        <v>100</v>
      </c>
      <c r="V29" s="1696" t="s">
        <v>25</v>
      </c>
      <c r="W29" s="1697">
        <f t="shared" ref="W29:W47" si="14">J29</f>
        <v>100</v>
      </c>
      <c r="X29" s="2045"/>
      <c r="Y29" s="3578"/>
      <c r="Z29" s="2049">
        <f t="shared" ref="Z29:Z47" si="15">Q29</f>
        <v>111</v>
      </c>
      <c r="AA29" s="2040">
        <f t="shared" si="3"/>
        <v>1</v>
      </c>
      <c r="AB29" s="2040">
        <f t="shared" si="4"/>
        <v>1</v>
      </c>
      <c r="AC29" s="2040">
        <f t="shared" si="5"/>
        <v>1</v>
      </c>
    </row>
    <row r="30" spans="1:29" ht="15" hidden="1">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578"/>
      <c r="Q30" s="2886">
        <f t="shared" si="11"/>
        <v>111</v>
      </c>
      <c r="R30" s="1696" t="s">
        <v>25</v>
      </c>
      <c r="S30" s="1697">
        <f t="shared" si="12"/>
        <v>100</v>
      </c>
      <c r="T30" s="1696" t="s">
        <v>25</v>
      </c>
      <c r="U30" s="1697">
        <f t="shared" si="13"/>
        <v>100</v>
      </c>
      <c r="V30" s="1696" t="s">
        <v>25</v>
      </c>
      <c r="W30" s="1697">
        <f t="shared" si="14"/>
        <v>100</v>
      </c>
      <c r="X30" s="2045"/>
      <c r="Y30" s="3578"/>
      <c r="Z30" s="2049">
        <f t="shared" si="15"/>
        <v>111</v>
      </c>
      <c r="AA30" s="2040">
        <f t="shared" si="3"/>
        <v>1</v>
      </c>
      <c r="AB30" s="2040">
        <f t="shared" si="4"/>
        <v>1</v>
      </c>
      <c r="AC30" s="2040">
        <f t="shared" si="5"/>
        <v>1</v>
      </c>
    </row>
    <row r="31" spans="1:29" ht="15" hidden="1">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578"/>
      <c r="Q31" s="2886">
        <f t="shared" si="11"/>
        <v>111</v>
      </c>
      <c r="R31" s="1696" t="s">
        <v>25</v>
      </c>
      <c r="S31" s="1697">
        <f t="shared" si="12"/>
        <v>100</v>
      </c>
      <c r="T31" s="1696" t="s">
        <v>25</v>
      </c>
      <c r="U31" s="1697">
        <f t="shared" si="13"/>
        <v>100</v>
      </c>
      <c r="V31" s="1696" t="s">
        <v>25</v>
      </c>
      <c r="W31" s="1697">
        <f t="shared" si="14"/>
        <v>100</v>
      </c>
      <c r="X31" s="2045"/>
      <c r="Y31" s="3578"/>
      <c r="Z31" s="2049">
        <f t="shared" si="15"/>
        <v>111</v>
      </c>
      <c r="AA31" s="2040">
        <f t="shared" si="3"/>
        <v>1</v>
      </c>
      <c r="AB31" s="2040">
        <f t="shared" si="4"/>
        <v>1</v>
      </c>
      <c r="AC31" s="2040">
        <f t="shared" si="5"/>
        <v>1</v>
      </c>
    </row>
    <row r="32" spans="1:29" ht="15.75" hidden="1"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578"/>
      <c r="Q32" s="2886">
        <f t="shared" si="11"/>
        <v>111</v>
      </c>
      <c r="R32" s="1696" t="s">
        <v>25</v>
      </c>
      <c r="S32" s="1697">
        <f t="shared" si="12"/>
        <v>100</v>
      </c>
      <c r="T32" s="1696" t="s">
        <v>25</v>
      </c>
      <c r="U32" s="1697">
        <f t="shared" si="13"/>
        <v>100</v>
      </c>
      <c r="V32" s="1696" t="s">
        <v>25</v>
      </c>
      <c r="W32" s="1697">
        <f t="shared" si="14"/>
        <v>100</v>
      </c>
      <c r="X32" s="2045"/>
      <c r="Y32" s="3578"/>
      <c r="Z32" s="2049">
        <f t="shared" si="15"/>
        <v>111</v>
      </c>
      <c r="AA32" s="2040">
        <f t="shared" si="3"/>
        <v>1</v>
      </c>
      <c r="AB32" s="2040">
        <f t="shared" si="4"/>
        <v>1</v>
      </c>
      <c r="AC32" s="2040">
        <f t="shared" si="5"/>
        <v>1</v>
      </c>
    </row>
    <row r="33" spans="1:29" ht="15">
      <c r="A33" s="1688" t="s">
        <v>2216</v>
      </c>
      <c r="B33" s="1658" t="s">
        <v>2332</v>
      </c>
      <c r="C33" s="2473" t="s">
        <v>3016</v>
      </c>
      <c r="D33" s="1733">
        <v>100</v>
      </c>
      <c r="E33" s="2473" t="s">
        <v>3016</v>
      </c>
      <c r="F33" s="1725">
        <f>SUMIF(101:101,E33,102:102)-SUMIF(101:101,C33,102:102)+100</f>
        <v>100</v>
      </c>
      <c r="G33" s="2473" t="s">
        <v>3016</v>
      </c>
      <c r="H33" s="1682">
        <f>SUMIF(101:101,G33,102:102)-SUMIF(101:101,C33,102:102)+100</f>
        <v>100</v>
      </c>
      <c r="I33" s="2473" t="s">
        <v>3016</v>
      </c>
      <c r="J33" s="1733">
        <f>SUMIF(101:101,I33,102:102)-SUMIF(101:101,C33,102:102)+100</f>
        <v>100</v>
      </c>
      <c r="K33" s="1963">
        <v>2</v>
      </c>
      <c r="L33" s="2972"/>
      <c r="M33" s="2968"/>
      <c r="N33" s="2968"/>
      <c r="O33" s="2968"/>
      <c r="P33" s="3579" t="s">
        <v>2218</v>
      </c>
      <c r="Q33" s="2886" t="str">
        <f t="shared" si="11"/>
        <v>建筑类型</v>
      </c>
      <c r="R33" s="1696" t="s">
        <v>25</v>
      </c>
      <c r="S33" s="1697">
        <f t="shared" si="12"/>
        <v>100</v>
      </c>
      <c r="T33" s="1696" t="s">
        <v>25</v>
      </c>
      <c r="U33" s="1697">
        <f t="shared" si="13"/>
        <v>100</v>
      </c>
      <c r="V33" s="1696" t="s">
        <v>25</v>
      </c>
      <c r="W33" s="1697">
        <f t="shared" si="14"/>
        <v>100</v>
      </c>
      <c r="X33" s="2045"/>
      <c r="Y33" s="3580" t="s">
        <v>2218</v>
      </c>
      <c r="Z33" s="2049" t="str">
        <f t="shared" si="15"/>
        <v>建筑类型</v>
      </c>
      <c r="AA33" s="2040">
        <f t="shared" si="3"/>
        <v>1</v>
      </c>
      <c r="AB33" s="2040">
        <f t="shared" si="4"/>
        <v>1</v>
      </c>
      <c r="AC33" s="2040">
        <f t="shared" si="5"/>
        <v>1</v>
      </c>
    </row>
    <row r="34" spans="1:29" s="1742" customFormat="1" ht="15">
      <c r="A34" s="1735"/>
      <c r="B34" s="1666" t="s">
        <v>2219</v>
      </c>
      <c r="C34" s="1736">
        <f>'数据-取费表'!E5</f>
        <v>63</v>
      </c>
      <c r="D34" s="1668">
        <v>100</v>
      </c>
      <c r="E34" s="1675">
        <f>案例!B2</f>
        <v>61.25</v>
      </c>
      <c r="F34" s="1670">
        <f>LOOKUP(E34,104:104,105:105)-LOOKUP(C34,104:104,105:105)+100</f>
        <v>100</v>
      </c>
      <c r="G34" s="1674">
        <f>案例!B3</f>
        <v>63.04</v>
      </c>
      <c r="H34" s="1668">
        <f>LOOKUP(G34,104:104,105:105)-LOOKUP(C34,104:104,105:105)+100</f>
        <v>100</v>
      </c>
      <c r="I34" s="1674">
        <f>案例!B4</f>
        <v>63</v>
      </c>
      <c r="J34" s="1668">
        <f>LOOKUP(I34,104:104,105:105)-LOOKUP(C34,104:104,105:105)+100</f>
        <v>100</v>
      </c>
      <c r="K34" s="1960"/>
      <c r="L34" s="2971"/>
      <c r="M34" s="2030"/>
      <c r="N34" s="2030"/>
      <c r="O34" s="2030"/>
      <c r="P34" s="3580"/>
      <c r="Q34" s="1737" t="str">
        <f t="shared" si="11"/>
        <v>项目建筑规模</v>
      </c>
      <c r="R34" s="1738" t="s">
        <v>25</v>
      </c>
      <c r="S34" s="1739">
        <f t="shared" si="12"/>
        <v>100</v>
      </c>
      <c r="T34" s="1738" t="s">
        <v>25</v>
      </c>
      <c r="U34" s="1739">
        <f t="shared" si="13"/>
        <v>100</v>
      </c>
      <c r="V34" s="1738" t="s">
        <v>25</v>
      </c>
      <c r="W34" s="1739">
        <f t="shared" si="14"/>
        <v>100</v>
      </c>
      <c r="X34" s="1740"/>
      <c r="Y34" s="3580"/>
      <c r="Z34" s="1741" t="str">
        <f t="shared" si="15"/>
        <v>项目建筑规模</v>
      </c>
      <c r="AA34" s="2040">
        <f t="shared" si="3"/>
        <v>1</v>
      </c>
      <c r="AB34" s="2040">
        <f t="shared" si="4"/>
        <v>1</v>
      </c>
      <c r="AC34" s="2040">
        <f t="shared" si="5"/>
        <v>1</v>
      </c>
    </row>
    <row r="35" spans="1:29" ht="15">
      <c r="A35" s="1743"/>
      <c r="B35" s="1666" t="s">
        <v>2220</v>
      </c>
      <c r="C35" s="1723" t="s">
        <v>3001</v>
      </c>
      <c r="D35" s="1682">
        <v>100</v>
      </c>
      <c r="E35" s="1723" t="s">
        <v>3001</v>
      </c>
      <c r="F35" s="1725">
        <f>SUMIF(106:106,E35,107:107)-SUMIF(106:106,C35,107:107)+100</f>
        <v>100</v>
      </c>
      <c r="G35" s="1723" t="s">
        <v>3001</v>
      </c>
      <c r="H35" s="1682">
        <f>SUMIF(106:106,G35,107:107)-SUMIF(106:106,C35,107:107)+100</f>
        <v>100</v>
      </c>
      <c r="I35" s="1723" t="s">
        <v>3001</v>
      </c>
      <c r="J35" s="1682">
        <f>SUMIF(106:106,I35,107:107)-SUMIF(106:106,C35,107:107)+100</f>
        <v>100</v>
      </c>
      <c r="K35" s="1963">
        <v>2</v>
      </c>
      <c r="L35" s="2972"/>
      <c r="M35" s="2968"/>
      <c r="N35" s="2968"/>
      <c r="O35" s="2968"/>
      <c r="P35" s="3580"/>
      <c r="Q35" s="2886" t="str">
        <f t="shared" si="11"/>
        <v>建筑结构</v>
      </c>
      <c r="R35" s="1696" t="s">
        <v>25</v>
      </c>
      <c r="S35" s="1697">
        <f t="shared" si="12"/>
        <v>100</v>
      </c>
      <c r="T35" s="1696" t="s">
        <v>25</v>
      </c>
      <c r="U35" s="1697">
        <f t="shared" si="13"/>
        <v>100</v>
      </c>
      <c r="V35" s="1696" t="s">
        <v>25</v>
      </c>
      <c r="W35" s="1697">
        <f t="shared" si="14"/>
        <v>100</v>
      </c>
      <c r="X35" s="2045"/>
      <c r="Y35" s="3580"/>
      <c r="Z35" s="2049" t="str">
        <f t="shared" si="15"/>
        <v>建筑结构</v>
      </c>
      <c r="AA35" s="2040">
        <f t="shared" si="3"/>
        <v>1</v>
      </c>
      <c r="AB35" s="2040">
        <f t="shared" si="4"/>
        <v>1</v>
      </c>
      <c r="AC35" s="2040">
        <f t="shared" si="5"/>
        <v>1</v>
      </c>
    </row>
    <row r="36" spans="1:29" ht="15">
      <c r="A36" s="1743"/>
      <c r="B36" s="1666" t="s">
        <v>2305</v>
      </c>
      <c r="C36" s="1723" t="s">
        <v>3019</v>
      </c>
      <c r="D36" s="1682">
        <v>100</v>
      </c>
      <c r="E36" s="1723" t="s">
        <v>3019</v>
      </c>
      <c r="F36" s="1725">
        <f>SUMIF(108:108,E36,109:109)-SUMIF(108:108,C36,109:109)+100</f>
        <v>100</v>
      </c>
      <c r="G36" s="1723" t="s">
        <v>3019</v>
      </c>
      <c r="H36" s="1682">
        <f>SUMIF(108:108,G36,109:109)-SUMIF(108:108,C36,109:109)+100</f>
        <v>100</v>
      </c>
      <c r="I36" s="1723" t="s">
        <v>3019</v>
      </c>
      <c r="J36" s="1682">
        <f>SUMIF(108:108,I36,109:109)-SUMIF(108:108,C36,109:109)+100</f>
        <v>100</v>
      </c>
      <c r="K36" s="1963">
        <v>2</v>
      </c>
      <c r="L36" s="2972"/>
      <c r="M36" s="2968"/>
      <c r="N36" s="2968"/>
      <c r="O36" s="2968"/>
      <c r="P36" s="3580"/>
      <c r="Q36" s="2886" t="str">
        <f t="shared" si="11"/>
        <v>公共部分装修</v>
      </c>
      <c r="R36" s="1696" t="s">
        <v>25</v>
      </c>
      <c r="S36" s="1697">
        <f t="shared" si="12"/>
        <v>100</v>
      </c>
      <c r="T36" s="1696" t="s">
        <v>25</v>
      </c>
      <c r="U36" s="1697">
        <f t="shared" si="13"/>
        <v>100</v>
      </c>
      <c r="V36" s="1696" t="s">
        <v>25</v>
      </c>
      <c r="W36" s="1697">
        <f t="shared" si="14"/>
        <v>100</v>
      </c>
      <c r="X36" s="2045"/>
      <c r="Y36" s="3580"/>
      <c r="Z36" s="2049" t="str">
        <f t="shared" si="15"/>
        <v>公共部分装修</v>
      </c>
      <c r="AA36" s="2040">
        <f t="shared" si="3"/>
        <v>1</v>
      </c>
      <c r="AB36" s="2040">
        <f t="shared" si="4"/>
        <v>1</v>
      </c>
      <c r="AC36" s="2040">
        <f t="shared" si="5"/>
        <v>1</v>
      </c>
    </row>
    <row r="37" spans="1:29" ht="15">
      <c r="A37" s="1743"/>
      <c r="B37" s="1666" t="s">
        <v>2306</v>
      </c>
      <c r="C37" s="1747">
        <f>'数据-取费表'!E20</f>
        <v>0.83</v>
      </c>
      <c r="D37" s="1682">
        <v>100</v>
      </c>
      <c r="E37" s="1747">
        <f>C37</f>
        <v>0.83</v>
      </c>
      <c r="F37" s="1725">
        <f>LOOKUP(E37,111:111,112:112)-LOOKUP(C37,111:111,112:112)+100</f>
        <v>100</v>
      </c>
      <c r="G37" s="1747">
        <f>C37</f>
        <v>0.83</v>
      </c>
      <c r="H37" s="1725">
        <f>LOOKUP(G37,111:111,112:112)-LOOKUP(C37,111:111,112:112)+100</f>
        <v>100</v>
      </c>
      <c r="I37" s="1747">
        <f>C37</f>
        <v>0.83</v>
      </c>
      <c r="J37" s="1682">
        <f>LOOKUP(I37,111:111,112:112)-LOOKUP(C37,111:111,112:112)+100</f>
        <v>100</v>
      </c>
      <c r="K37" s="1963">
        <v>2</v>
      </c>
      <c r="L37" s="2972"/>
      <c r="M37" s="2968"/>
      <c r="N37" s="2968"/>
      <c r="O37" s="2968"/>
      <c r="P37" s="3580"/>
      <c r="Q37" s="2886" t="str">
        <f t="shared" si="11"/>
        <v>成新度</v>
      </c>
      <c r="R37" s="1696" t="s">
        <v>25</v>
      </c>
      <c r="S37" s="1697">
        <f t="shared" si="12"/>
        <v>100</v>
      </c>
      <c r="T37" s="1696" t="s">
        <v>25</v>
      </c>
      <c r="U37" s="1697">
        <f t="shared" si="13"/>
        <v>100</v>
      </c>
      <c r="V37" s="1696" t="s">
        <v>25</v>
      </c>
      <c r="W37" s="1697">
        <f t="shared" si="14"/>
        <v>100</v>
      </c>
      <c r="X37" s="2045"/>
      <c r="Y37" s="3580"/>
      <c r="Z37" s="2049" t="str">
        <f t="shared" si="15"/>
        <v>成新度</v>
      </c>
      <c r="AA37" s="2040">
        <f t="shared" si="3"/>
        <v>1</v>
      </c>
      <c r="AB37" s="2040">
        <f t="shared" si="4"/>
        <v>1</v>
      </c>
      <c r="AC37" s="2040">
        <f t="shared" si="5"/>
        <v>1</v>
      </c>
    </row>
    <row r="38" spans="1:29" s="1655" customFormat="1" ht="15">
      <c r="A38" s="1746"/>
      <c r="B38" s="1666" t="s">
        <v>2333</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7"/>
      <c r="M38" s="2940"/>
      <c r="N38" s="2940"/>
      <c r="O38" s="2940"/>
      <c r="P38" s="3580"/>
      <c r="Q38" s="2885" t="str">
        <f t="shared" si="11"/>
        <v>写字楼等级</v>
      </c>
      <c r="R38" s="1651" t="s">
        <v>25</v>
      </c>
      <c r="S38" s="1652">
        <f t="shared" si="12"/>
        <v>100</v>
      </c>
      <c r="T38" s="1651" t="s">
        <v>25</v>
      </c>
      <c r="U38" s="1652">
        <f t="shared" si="13"/>
        <v>100</v>
      </c>
      <c r="V38" s="1651" t="s">
        <v>25</v>
      </c>
      <c r="W38" s="1652">
        <f t="shared" si="14"/>
        <v>100</v>
      </c>
      <c r="X38" s="1653"/>
      <c r="Y38" s="3580"/>
      <c r="Z38" s="1664" t="str">
        <f t="shared" si="15"/>
        <v>写字楼等级</v>
      </c>
      <c r="AA38" s="1654">
        <f t="shared" si="3"/>
        <v>1</v>
      </c>
      <c r="AB38" s="1654">
        <f t="shared" si="4"/>
        <v>1</v>
      </c>
      <c r="AC38" s="1654">
        <f t="shared" si="5"/>
        <v>1</v>
      </c>
    </row>
    <row r="39" spans="1:29" ht="15">
      <c r="A39" s="1743"/>
      <c r="B39" s="1666" t="s">
        <v>2334</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2"/>
      <c r="M39" s="2968"/>
      <c r="N39" s="2968"/>
      <c r="O39" s="2968"/>
      <c r="P39" s="3580" t="s">
        <v>2218</v>
      </c>
      <c r="Q39" s="2886" t="str">
        <f t="shared" si="11"/>
        <v>物业管理</v>
      </c>
      <c r="R39" s="1696" t="s">
        <v>25</v>
      </c>
      <c r="S39" s="1697">
        <f t="shared" si="12"/>
        <v>100</v>
      </c>
      <c r="T39" s="1696" t="s">
        <v>25</v>
      </c>
      <c r="U39" s="1697">
        <f t="shared" si="13"/>
        <v>100</v>
      </c>
      <c r="V39" s="1696" t="s">
        <v>25</v>
      </c>
      <c r="W39" s="1697">
        <f t="shared" si="14"/>
        <v>100</v>
      </c>
      <c r="X39" s="2045"/>
      <c r="Y39" s="3580" t="s">
        <v>2218</v>
      </c>
      <c r="Z39" s="2049" t="str">
        <f t="shared" si="15"/>
        <v>物业管理</v>
      </c>
      <c r="AA39" s="2040">
        <f t="shared" si="3"/>
        <v>1</v>
      </c>
      <c r="AB39" s="2040">
        <f t="shared" si="4"/>
        <v>1</v>
      </c>
      <c r="AC39" s="2040">
        <f t="shared" si="5"/>
        <v>1</v>
      </c>
    </row>
    <row r="40" spans="1:29" ht="15">
      <c r="A40" s="1743"/>
      <c r="B40" s="1666" t="s">
        <v>2307</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2"/>
      <c r="M40" s="2968"/>
      <c r="N40" s="2968"/>
      <c r="O40" s="2968"/>
      <c r="P40" s="3580"/>
      <c r="Q40" s="2886" t="str">
        <f t="shared" si="11"/>
        <v>市政基础设施</v>
      </c>
      <c r="R40" s="1696" t="s">
        <v>25</v>
      </c>
      <c r="S40" s="1697">
        <f t="shared" si="12"/>
        <v>100</v>
      </c>
      <c r="T40" s="1696" t="s">
        <v>25</v>
      </c>
      <c r="U40" s="1697">
        <f t="shared" si="13"/>
        <v>100</v>
      </c>
      <c r="V40" s="1696" t="s">
        <v>25</v>
      </c>
      <c r="W40" s="1697">
        <f t="shared" si="14"/>
        <v>100</v>
      </c>
      <c r="X40" s="2045"/>
      <c r="Y40" s="3580"/>
      <c r="Z40" s="2049" t="str">
        <f t="shared" si="15"/>
        <v>市政基础设施</v>
      </c>
      <c r="AA40" s="2040">
        <f t="shared" si="3"/>
        <v>1</v>
      </c>
      <c r="AB40" s="2040">
        <f t="shared" si="4"/>
        <v>1</v>
      </c>
      <c r="AC40" s="2040">
        <f t="shared" si="5"/>
        <v>1</v>
      </c>
    </row>
    <row r="41" spans="1:29" ht="15">
      <c r="A41" s="1743"/>
      <c r="B41" s="1666" t="s">
        <v>2309</v>
      </c>
      <c r="C41" s="1962" t="s">
        <v>3021</v>
      </c>
      <c r="D41" s="1682">
        <v>100</v>
      </c>
      <c r="E41" s="1962" t="s">
        <v>3021</v>
      </c>
      <c r="F41" s="1725">
        <f>SUMIF(119:119,E41,120:120)-SUMIF(119:119,C41,120:120)+100</f>
        <v>100</v>
      </c>
      <c r="G41" s="1962" t="s">
        <v>3021</v>
      </c>
      <c r="H41" s="1682">
        <f>SUMIF(119:119,G41,120:120)-SUMIF(119:119,C41,120:120)+100</f>
        <v>100</v>
      </c>
      <c r="I41" s="1962" t="s">
        <v>3021</v>
      </c>
      <c r="J41" s="1682">
        <f>SUMIF(119:119,I41,120:120)-SUMIF(119:119,C41,120:120)+100</f>
        <v>100</v>
      </c>
      <c r="K41" s="1963">
        <v>2</v>
      </c>
      <c r="L41" s="2972"/>
      <c r="M41" s="2968"/>
      <c r="N41" s="2968"/>
      <c r="O41" s="2968"/>
      <c r="P41" s="3580"/>
      <c r="Q41" s="2886" t="str">
        <f t="shared" si="11"/>
        <v>层高</v>
      </c>
      <c r="R41" s="1696" t="s">
        <v>25</v>
      </c>
      <c r="S41" s="1697">
        <f t="shared" si="12"/>
        <v>100</v>
      </c>
      <c r="T41" s="1696" t="s">
        <v>25</v>
      </c>
      <c r="U41" s="1697">
        <f t="shared" si="13"/>
        <v>100</v>
      </c>
      <c r="V41" s="1696" t="s">
        <v>25</v>
      </c>
      <c r="W41" s="1697">
        <f t="shared" si="14"/>
        <v>100</v>
      </c>
      <c r="X41" s="2045"/>
      <c r="Y41" s="3580"/>
      <c r="Z41" s="2049" t="str">
        <f t="shared" si="15"/>
        <v>层高</v>
      </c>
      <c r="AA41" s="2040">
        <f t="shared" si="3"/>
        <v>1</v>
      </c>
      <c r="AB41" s="2040">
        <f t="shared" si="4"/>
        <v>1</v>
      </c>
      <c r="AC41" s="2040">
        <f t="shared" si="5"/>
        <v>1</v>
      </c>
    </row>
    <row r="42" spans="1:29" s="1742" customFormat="1" ht="15">
      <c r="A42" s="1735"/>
      <c r="B42" s="2041" t="s">
        <v>2335</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580"/>
      <c r="Q42" s="1737" t="str">
        <f t="shared" si="11"/>
        <v>单套建筑面积</v>
      </c>
      <c r="R42" s="1738" t="s">
        <v>25</v>
      </c>
      <c r="S42" s="1739">
        <f t="shared" si="12"/>
        <v>100</v>
      </c>
      <c r="T42" s="1738" t="s">
        <v>25</v>
      </c>
      <c r="U42" s="1739">
        <f t="shared" si="13"/>
        <v>100</v>
      </c>
      <c r="V42" s="1738" t="s">
        <v>25</v>
      </c>
      <c r="W42" s="1739">
        <f t="shared" si="14"/>
        <v>100</v>
      </c>
      <c r="X42" s="1740"/>
      <c r="Y42" s="3580"/>
      <c r="Z42" s="1741" t="str">
        <f t="shared" si="15"/>
        <v>单套建筑面积</v>
      </c>
      <c r="AA42" s="2040">
        <f t="shared" si="3"/>
        <v>1</v>
      </c>
      <c r="AB42" s="2040">
        <f t="shared" si="4"/>
        <v>1</v>
      </c>
      <c r="AC42" s="2040">
        <f t="shared" si="5"/>
        <v>1</v>
      </c>
    </row>
    <row r="43" spans="1:29" ht="15">
      <c r="A43" s="1743"/>
      <c r="B43" s="1666" t="s">
        <v>2312</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2"/>
      <c r="M43" s="2968"/>
      <c r="N43" s="2968"/>
      <c r="O43" s="2968"/>
      <c r="P43" s="3580"/>
      <c r="Q43" s="2886" t="str">
        <f t="shared" si="11"/>
        <v>内部装修</v>
      </c>
      <c r="R43" s="1696" t="s">
        <v>25</v>
      </c>
      <c r="S43" s="1697">
        <f t="shared" si="12"/>
        <v>100</v>
      </c>
      <c r="T43" s="1696" t="s">
        <v>25</v>
      </c>
      <c r="U43" s="1697">
        <f t="shared" si="13"/>
        <v>100</v>
      </c>
      <c r="V43" s="1696" t="s">
        <v>25</v>
      </c>
      <c r="W43" s="1697">
        <f t="shared" si="14"/>
        <v>100</v>
      </c>
      <c r="X43" s="2045"/>
      <c r="Y43" s="3580"/>
      <c r="Z43" s="2049" t="str">
        <f t="shared" si="15"/>
        <v>内部装修</v>
      </c>
      <c r="AA43" s="2040">
        <f t="shared" si="3"/>
        <v>1</v>
      </c>
      <c r="AB43" s="2040">
        <f t="shared" si="4"/>
        <v>1</v>
      </c>
      <c r="AC43" s="2040">
        <f t="shared" si="5"/>
        <v>1</v>
      </c>
    </row>
    <row r="44" spans="1:29" ht="15">
      <c r="A44" s="1743"/>
      <c r="B44" s="1666" t="s">
        <v>2229</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2"/>
      <c r="M44" s="2968"/>
      <c r="N44" s="2968"/>
      <c r="O44" s="2968"/>
      <c r="P44" s="3580"/>
      <c r="Q44" s="2886" t="str">
        <f t="shared" si="11"/>
        <v>内部装修维护情况</v>
      </c>
      <c r="R44" s="1696" t="s">
        <v>25</v>
      </c>
      <c r="S44" s="1697">
        <f t="shared" si="12"/>
        <v>100</v>
      </c>
      <c r="T44" s="1696" t="s">
        <v>25</v>
      </c>
      <c r="U44" s="1697">
        <f t="shared" si="13"/>
        <v>100</v>
      </c>
      <c r="V44" s="1696" t="s">
        <v>25</v>
      </c>
      <c r="W44" s="1697">
        <f t="shared" si="14"/>
        <v>100</v>
      </c>
      <c r="X44" s="2045"/>
      <c r="Y44" s="3580"/>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580"/>
      <c r="Q45" s="2885">
        <f t="shared" si="11"/>
        <v>111</v>
      </c>
      <c r="R45" s="1651" t="s">
        <v>25</v>
      </c>
      <c r="S45" s="1652">
        <f t="shared" si="12"/>
        <v>100</v>
      </c>
      <c r="T45" s="1651" t="s">
        <v>25</v>
      </c>
      <c r="U45" s="1652">
        <f t="shared" si="13"/>
        <v>100</v>
      </c>
      <c r="V45" s="1651" t="s">
        <v>25</v>
      </c>
      <c r="W45" s="1652">
        <f t="shared" si="14"/>
        <v>100</v>
      </c>
      <c r="X45" s="1653"/>
      <c r="Y45" s="3580"/>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580"/>
      <c r="Q46" s="2886">
        <f t="shared" si="11"/>
        <v>111</v>
      </c>
      <c r="R46" s="1696" t="s">
        <v>25</v>
      </c>
      <c r="S46" s="1697">
        <f t="shared" si="12"/>
        <v>100</v>
      </c>
      <c r="T46" s="1696" t="s">
        <v>25</v>
      </c>
      <c r="U46" s="1697">
        <f t="shared" si="13"/>
        <v>100</v>
      </c>
      <c r="V46" s="1696" t="s">
        <v>25</v>
      </c>
      <c r="W46" s="1697">
        <f t="shared" si="14"/>
        <v>100</v>
      </c>
      <c r="X46" s="2045"/>
      <c r="Y46" s="3580"/>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581"/>
      <c r="Q47" s="2886">
        <f t="shared" si="11"/>
        <v>111</v>
      </c>
      <c r="R47" s="1696" t="s">
        <v>25</v>
      </c>
      <c r="S47" s="1697">
        <f t="shared" si="12"/>
        <v>100</v>
      </c>
      <c r="T47" s="1696" t="s">
        <v>25</v>
      </c>
      <c r="U47" s="1697">
        <f t="shared" si="13"/>
        <v>100</v>
      </c>
      <c r="V47" s="1696" t="s">
        <v>25</v>
      </c>
      <c r="W47" s="1697">
        <f t="shared" si="14"/>
        <v>100</v>
      </c>
      <c r="X47" s="2045"/>
      <c r="Y47" s="3581"/>
      <c r="Z47" s="2049">
        <f t="shared" si="15"/>
        <v>111</v>
      </c>
      <c r="AA47" s="2040">
        <f t="shared" si="3"/>
        <v>1</v>
      </c>
      <c r="AB47" s="2040">
        <f t="shared" si="4"/>
        <v>1</v>
      </c>
      <c r="AC47" s="2040">
        <f t="shared" si="5"/>
        <v>1</v>
      </c>
    </row>
    <row r="48" spans="1:29" ht="15">
      <c r="A48" s="1752" t="s">
        <v>2230</v>
      </c>
      <c r="B48" s="1753"/>
      <c r="C48" s="1754" t="s">
        <v>1</v>
      </c>
      <c r="D48" s="1755"/>
      <c r="E48" s="1756">
        <f>案例!D2</f>
        <v>29388</v>
      </c>
      <c r="F48" s="1757"/>
      <c r="G48" s="1758">
        <f>案例!D3</f>
        <v>28553</v>
      </c>
      <c r="H48" s="1759"/>
      <c r="I48" s="1756">
        <f>案例!D4</f>
        <v>33333</v>
      </c>
      <c r="J48" s="1759"/>
      <c r="K48" s="1984"/>
      <c r="L48" s="2973"/>
      <c r="M48" s="2968"/>
      <c r="N48" s="2968"/>
      <c r="O48" s="2968"/>
      <c r="P48" s="3549" t="str">
        <f>A48</f>
        <v>成交单价（元/平方米）</v>
      </c>
      <c r="Q48" s="3549"/>
      <c r="R48" s="3582">
        <f>E48</f>
        <v>29388</v>
      </c>
      <c r="S48" s="3582"/>
      <c r="T48" s="3582">
        <f>G48</f>
        <v>28553</v>
      </c>
      <c r="U48" s="3582"/>
      <c r="V48" s="3582">
        <f>I48</f>
        <v>33333</v>
      </c>
      <c r="W48" s="3582"/>
      <c r="X48" s="1762"/>
      <c r="Y48" s="2044"/>
      <c r="Z48" s="1762"/>
      <c r="AA48" s="1762"/>
      <c r="AB48" s="1762"/>
      <c r="AC48" s="1762"/>
    </row>
    <row r="49" spans="1:29" ht="15.75" thickBot="1">
      <c r="A49" s="1764" t="s">
        <v>2313</v>
      </c>
      <c r="B49" s="1765"/>
      <c r="C49" s="1766">
        <f>R50</f>
        <v>30412</v>
      </c>
      <c r="D49" s="1767" t="s">
        <v>2687</v>
      </c>
      <c r="E49" s="1768">
        <f>R49</f>
        <v>29097</v>
      </c>
      <c r="F49" s="1769"/>
      <c r="G49" s="1766">
        <f>T49</f>
        <v>29136</v>
      </c>
      <c r="H49" s="1769"/>
      <c r="I49" s="1768">
        <f>V49</f>
        <v>33003</v>
      </c>
      <c r="J49" s="1769"/>
      <c r="K49" s="2481">
        <f>F49+H49+J49</f>
        <v>0</v>
      </c>
      <c r="L49" s="2973"/>
      <c r="M49" s="2968"/>
      <c r="N49" s="2968"/>
      <c r="O49" s="2968"/>
      <c r="P49" s="3549" t="str">
        <f>A49</f>
        <v>比较价值（元/平方米）</v>
      </c>
      <c r="Q49" s="3549"/>
      <c r="R49" s="3582">
        <f>IF(E1="售价",ROUND(PRODUCT(R48,AA7:AA47),0),ROUND(PRODUCT(R48,AA7:AA47),1))</f>
        <v>29097</v>
      </c>
      <c r="S49" s="3582"/>
      <c r="T49" s="3582">
        <f>IF(E1="售价",ROUND(PRODUCT(T48,AB7:AB47),0),ROUND(PRODUCT(T48,AB7:AB47),1))</f>
        <v>29136</v>
      </c>
      <c r="U49" s="3582"/>
      <c r="V49" s="3582">
        <f>IF(E1="售价",ROUND(PRODUCT(V48,AC7:AC47),0),ROUND(PRODUCT(V48,AC7:AC47),1))</f>
        <v>33003</v>
      </c>
      <c r="W49" s="3582"/>
      <c r="X49" s="1762"/>
      <c r="Y49" s="1762"/>
      <c r="Z49" s="1762"/>
      <c r="AA49" s="1762"/>
      <c r="AB49" s="1762"/>
      <c r="AC49" s="1762"/>
    </row>
    <row r="50" spans="1:29" ht="15.75" thickBot="1">
      <c r="A50" s="1770" t="s">
        <v>2336</v>
      </c>
      <c r="B50" s="1771"/>
      <c r="C50" s="1773">
        <f>R50</f>
        <v>30412</v>
      </c>
      <c r="D50" s="1773"/>
      <c r="E50" s="1773"/>
      <c r="F50" s="1773"/>
      <c r="G50" s="1773"/>
      <c r="H50" s="1773"/>
      <c r="I50" s="1773"/>
      <c r="J50" s="1773"/>
      <c r="K50" s="1989"/>
      <c r="L50" s="2973"/>
      <c r="M50" s="2968"/>
      <c r="N50" s="2968"/>
      <c r="O50" s="2968"/>
      <c r="P50" s="3583" t="str">
        <f>A50</f>
        <v>估价对象XX用房的比较价值（楼面单价，元/平方米）</v>
      </c>
      <c r="Q50" s="3584"/>
      <c r="R50" s="3585">
        <f>IF(E1="售价",ROUND(IF(D49="简单平均",AVERAGE(R49:V49),R49*F49+T49*H49+V49*J49),0),ROUND(IF(D49="简单平均",AVERAGE(R49:V49),R49*F49+T49*H49+V49*J49),1))</f>
        <v>30412</v>
      </c>
      <c r="S50" s="3585"/>
      <c r="T50" s="3585"/>
      <c r="U50" s="3585"/>
      <c r="V50" s="3585"/>
      <c r="W50" s="3585"/>
      <c r="X50" s="1762"/>
      <c r="Y50" s="1762"/>
      <c r="Z50" s="1762"/>
      <c r="AA50" s="1762"/>
      <c r="AB50" s="1762"/>
      <c r="AC50" s="1762"/>
    </row>
    <row r="51" spans="1:29">
      <c r="G51" s="2977"/>
    </row>
    <row r="53" spans="1:29" ht="13.5" customHeight="1">
      <c r="C53" s="383" t="s">
        <v>2315</v>
      </c>
      <c r="D53" s="1778"/>
      <c r="E53" s="1779">
        <f>IF(E48&lt;E49,E49/E48-1,E48/E49-1)</f>
        <v>1.0001031034127195E-2</v>
      </c>
      <c r="F53" s="1780" t="str">
        <f>IF(OR(E53&gt;=0.3,E53&lt;=-0.3),"超过30%","")</f>
        <v/>
      </c>
      <c r="G53" s="1779">
        <f>IF(G48&lt;G49,G49/G48-1,G48/G49-1)</f>
        <v>2.041816971946897E-2</v>
      </c>
      <c r="H53" s="1780" t="str">
        <f>IF(OR(G53&gt;=0.3,G53&lt;=-0.3),"超过30%","")</f>
        <v/>
      </c>
      <c r="I53" s="1779">
        <f>IF(I48&lt;I49,I49/I48-1,I48/I49-1)</f>
        <v>9.9990909917280213E-3</v>
      </c>
      <c r="J53" s="1780" t="str">
        <f>IF(OR(I53&gt;=0.3,I53&lt;=-0.3),"超过30%","")</f>
        <v/>
      </c>
    </row>
    <row r="54" spans="1:29" ht="13.5" customHeight="1">
      <c r="C54" s="383" t="s">
        <v>2316</v>
      </c>
      <c r="D54" s="1781"/>
      <c r="E54" s="1779">
        <f>IF(E49&lt;G49,G49/E49-1,E49/G49-1)</f>
        <v>1.3403443653985381E-3</v>
      </c>
      <c r="F54" s="1780" t="str">
        <f>IF(OR(E54&gt;=0.2,E54&lt;=-0.2),"超过20%","")</f>
        <v/>
      </c>
      <c r="G54" s="1779">
        <f>IF(G49&lt;I49,I49/G49-1,G49/I49-1)</f>
        <v>0.13272240527182877</v>
      </c>
      <c r="H54" s="1780" t="str">
        <f>IF(OR(G54&gt;=0.2,G54&lt;=-0.2),"超过20%","")</f>
        <v/>
      </c>
      <c r="I54" s="1779">
        <f>IF(I49&lt;E49,E49/I49-1,I49/E49-1)</f>
        <v>0.1342406433652954</v>
      </c>
      <c r="J54" s="1780" t="str">
        <f>IF(OR(I54&gt;=0.2,I54&lt;=-0.2),"超过20%","")</f>
        <v/>
      </c>
    </row>
    <row r="55" spans="1:29" s="1784" customFormat="1" ht="13.5" customHeight="1">
      <c r="C55" s="383" t="s">
        <v>2317</v>
      </c>
      <c r="D55" s="1781"/>
      <c r="E55" s="1779">
        <f>IF(E48&lt;G48,G48/E48-1,E48/G48-1)</f>
        <v>2.9243862291177702E-2</v>
      </c>
      <c r="F55" s="1780" t="str">
        <f>IF(OR(E55&gt;=0.3,E55&lt;=-0.3),"超过30%","")</f>
        <v/>
      </c>
      <c r="G55" s="1779">
        <f>IF(G48&lt;I48,I48/G48-1,G48/I48-1)</f>
        <v>0.16740797814590413</v>
      </c>
      <c r="H55" s="1780" t="str">
        <f>IF(OR(G55&gt;=0.3,G55&lt;=-0.3),"超过30%","")</f>
        <v/>
      </c>
      <c r="I55" s="1779">
        <f>IF(I48&lt;E48,E48/I48-1,I48/E48-1)</f>
        <v>0.13423846467946099</v>
      </c>
      <c r="J55" s="1780" t="str">
        <f>IF(OR(I55&gt;=0.3,I55&lt;=-0.3),"超过30%","")</f>
        <v/>
      </c>
      <c r="K55" s="2980"/>
      <c r="L55" s="2974"/>
    </row>
    <row r="56" spans="1:29" s="1784" customFormat="1">
      <c r="B56" s="2978"/>
      <c r="C56" s="2979"/>
      <c r="K56" s="2980"/>
      <c r="L56" s="2974"/>
    </row>
    <row r="57" spans="1:29">
      <c r="B57" s="2978"/>
      <c r="C57" s="2979"/>
    </row>
    <row r="58" spans="1:29" ht="21.75" thickBot="1">
      <c r="A58" s="1787" t="s">
        <v>2318</v>
      </c>
      <c r="B58" s="1762"/>
      <c r="C58" s="1788"/>
      <c r="D58" s="1788"/>
      <c r="E58" s="1788"/>
      <c r="F58" s="1788"/>
      <c r="G58" s="1788"/>
      <c r="H58" s="1788"/>
      <c r="I58" s="1788"/>
      <c r="J58" s="1788"/>
      <c r="K58" s="1789"/>
      <c r="L58" s="1790"/>
      <c r="M58" s="1788"/>
      <c r="N58" s="2976"/>
      <c r="O58" s="2976"/>
      <c r="P58" s="2016"/>
      <c r="Q58" s="1792"/>
    </row>
    <row r="59" spans="1:29" s="1798" customFormat="1" ht="15">
      <c r="A59" s="1793" t="s">
        <v>2200</v>
      </c>
      <c r="B59" s="1794"/>
      <c r="C59" s="1795" t="str">
        <f>YEAR(C7)&amp;"-"&amp;MONTH(C7)</f>
        <v>2021-12</v>
      </c>
      <c r="D59" s="1796">
        <f>EDATE(C59,-1)</f>
        <v>44501</v>
      </c>
      <c r="E59" s="1796">
        <f t="shared" ref="E59:O59" si="16">EDATE(D59,-1)</f>
        <v>44470</v>
      </c>
      <c r="F59" s="1796">
        <f t="shared" si="16"/>
        <v>44440</v>
      </c>
      <c r="G59" s="1796">
        <f t="shared" si="16"/>
        <v>44409</v>
      </c>
      <c r="H59" s="1796">
        <f t="shared" si="16"/>
        <v>44378</v>
      </c>
      <c r="I59" s="1796">
        <f t="shared" si="16"/>
        <v>44348</v>
      </c>
      <c r="J59" s="1796">
        <f t="shared" si="16"/>
        <v>44317</v>
      </c>
      <c r="K59" s="1796">
        <f t="shared" si="16"/>
        <v>44287</v>
      </c>
      <c r="L59" s="1796">
        <f t="shared" si="16"/>
        <v>44256</v>
      </c>
      <c r="M59" s="1796">
        <f t="shared" si="16"/>
        <v>44228</v>
      </c>
      <c r="N59" s="1796">
        <f t="shared" si="16"/>
        <v>44197</v>
      </c>
      <c r="O59" s="1796">
        <f t="shared" si="16"/>
        <v>44166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2238</v>
      </c>
      <c r="B61" s="1806"/>
      <c r="C61" s="1807"/>
      <c r="D61" s="1808"/>
      <c r="E61" s="1808"/>
      <c r="F61" s="1808"/>
      <c r="G61" s="1808"/>
      <c r="H61" s="1808"/>
      <c r="I61" s="1808"/>
      <c r="J61" s="1808"/>
      <c r="K61" s="1808"/>
      <c r="L61" s="1808"/>
      <c r="M61" s="1809"/>
      <c r="N61" s="1808"/>
      <c r="O61" s="2475"/>
      <c r="P61" s="1792"/>
      <c r="Q61" s="1792"/>
    </row>
    <row r="62" spans="1:29" s="1655" customFormat="1" ht="15">
      <c r="A62" s="1810" t="s">
        <v>2202</v>
      </c>
      <c r="B62" s="1800"/>
      <c r="C62" s="1811" t="s">
        <v>2203</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2241</v>
      </c>
      <c r="B64" s="1818" t="s">
        <v>2206</v>
      </c>
      <c r="C64" s="1819" t="str">
        <f>C9</f>
        <v>办公</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2209</v>
      </c>
      <c r="C66" s="1830" t="s">
        <v>2242</v>
      </c>
      <c r="D66" s="1830" t="s">
        <v>2243</v>
      </c>
      <c r="E66" s="1830" t="s">
        <v>2244</v>
      </c>
      <c r="F66" s="1830" t="s">
        <v>2245</v>
      </c>
      <c r="G66" s="1830" t="s">
        <v>2246</v>
      </c>
      <c r="H66" s="1830" t="s">
        <v>2247</v>
      </c>
      <c r="I66" s="1830" t="s">
        <v>2248</v>
      </c>
      <c r="J66" s="1830"/>
      <c r="K66" s="428"/>
      <c r="L66" s="428"/>
      <c r="M66" s="1831"/>
      <c r="N66" s="2986"/>
      <c r="O66" s="2986"/>
      <c r="P66" s="2028"/>
      <c r="Q66" s="1792"/>
    </row>
    <row r="67" spans="1:17" ht="15.75" thickBot="1">
      <c r="A67" s="1824"/>
      <c r="B67" s="1832"/>
      <c r="C67" s="1833" t="s">
        <v>36</v>
      </c>
      <c r="D67" s="1833" t="s">
        <v>37</v>
      </c>
      <c r="E67" s="1833">
        <v>100</v>
      </c>
      <c r="F67" s="1833">
        <f>E67-$K10</f>
        <v>98</v>
      </c>
      <c r="G67" s="1833">
        <f>F67-$K10</f>
        <v>96</v>
      </c>
      <c r="H67" s="1833">
        <f>G67-$K10</f>
        <v>94</v>
      </c>
      <c r="I67" s="1833">
        <f>H67-$K10</f>
        <v>92</v>
      </c>
      <c r="J67" s="1833"/>
      <c r="K67" s="1833"/>
      <c r="L67" s="1833"/>
      <c r="M67" s="1834"/>
      <c r="N67" s="2987"/>
      <c r="O67" s="2987"/>
      <c r="P67" s="2028"/>
      <c r="Q67" s="1792"/>
    </row>
    <row r="68" spans="1:17" ht="15.75" thickTop="1">
      <c r="A68" s="1824"/>
      <c r="B68" s="1835" t="s">
        <v>2210</v>
      </c>
      <c r="C68" s="1836" t="str">
        <f>C69&amp;"（含）"&amp;"-"&amp;D69</f>
        <v>0（含）-1</v>
      </c>
      <c r="D68" s="1836" t="str">
        <f t="shared" ref="D68:L68" si="17">D69&amp;"（含）"&amp;"-"&amp;E69</f>
        <v>1（含）-2</v>
      </c>
      <c r="E68" s="1836" t="str">
        <f t="shared" si="17"/>
        <v>2（含）-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v>0</v>
      </c>
      <c r="D69" s="1838">
        <v>1</v>
      </c>
      <c r="E69" s="1838">
        <v>2</v>
      </c>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2211</v>
      </c>
      <c r="B77" s="1818" t="s">
        <v>2337</v>
      </c>
      <c r="C77" s="1856" t="s">
        <v>2250</v>
      </c>
      <c r="D77" s="1856" t="s">
        <v>2251</v>
      </c>
      <c r="E77" s="1856" t="s">
        <v>2252</v>
      </c>
      <c r="F77" s="1856" t="s">
        <v>2253</v>
      </c>
      <c r="G77" s="1856" t="s">
        <v>2254</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2255</v>
      </c>
      <c r="C79" s="579" t="s">
        <v>2250</v>
      </c>
      <c r="D79" s="579" t="s">
        <v>2251</v>
      </c>
      <c r="E79" s="579" t="s">
        <v>2252</v>
      </c>
      <c r="F79" s="579" t="s">
        <v>2253</v>
      </c>
      <c r="G79" s="579" t="s">
        <v>2254</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2256</v>
      </c>
      <c r="C81" s="579" t="s">
        <v>2250</v>
      </c>
      <c r="D81" s="579" t="s">
        <v>2251</v>
      </c>
      <c r="E81" s="579" t="s">
        <v>2252</v>
      </c>
      <c r="F81" s="579" t="s">
        <v>2253</v>
      </c>
      <c r="G81" s="579" t="s">
        <v>2254</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2299</v>
      </c>
      <c r="C83" s="1830" t="s">
        <v>2257</v>
      </c>
      <c r="D83" s="1830" t="s">
        <v>2258</v>
      </c>
      <c r="E83" s="1830" t="s">
        <v>2259</v>
      </c>
      <c r="F83" s="1830" t="s">
        <v>2260</v>
      </c>
      <c r="G83" s="1830" t="s">
        <v>2261</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2338</v>
      </c>
      <c r="C85" s="579" t="s">
        <v>2250</v>
      </c>
      <c r="D85" s="579" t="s">
        <v>2251</v>
      </c>
      <c r="E85" s="579" t="s">
        <v>2252</v>
      </c>
      <c r="F85" s="579" t="s">
        <v>2253</v>
      </c>
      <c r="G85" s="579" t="s">
        <v>2254</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2339</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3713" t="s">
        <v>3023</v>
      </c>
      <c r="D89" s="3713" t="s">
        <v>3025</v>
      </c>
      <c r="E89" s="3713" t="s">
        <v>3026</v>
      </c>
      <c r="F89" s="1863"/>
      <c r="G89" s="468"/>
      <c r="H89" s="468"/>
      <c r="I89" s="468"/>
      <c r="J89" s="468"/>
      <c r="K89" s="468"/>
      <c r="L89" s="468"/>
      <c r="M89" s="1861"/>
      <c r="N89" s="2985"/>
      <c r="O89" s="2985"/>
      <c r="P89" s="2028"/>
      <c r="Q89" s="1792"/>
    </row>
    <row r="90" spans="1:17" s="1655" customFormat="1" ht="15.75" thickBot="1">
      <c r="A90" s="1860"/>
      <c r="B90" s="1832"/>
      <c r="C90" s="1862">
        <v>100</v>
      </c>
      <c r="D90" s="1833">
        <f>C90-$K27</f>
        <v>98</v>
      </c>
      <c r="E90" s="1833">
        <f t="shared" ref="E90:M90" si="20">D90-$K27</f>
        <v>96</v>
      </c>
      <c r="F90" s="1833">
        <f t="shared" si="20"/>
        <v>94</v>
      </c>
      <c r="G90" s="1833">
        <f t="shared" si="20"/>
        <v>92</v>
      </c>
      <c r="H90" s="1833">
        <f t="shared" si="20"/>
        <v>90</v>
      </c>
      <c r="I90" s="1833">
        <f t="shared" si="20"/>
        <v>88</v>
      </c>
      <c r="J90" s="1833">
        <f t="shared" si="20"/>
        <v>86</v>
      </c>
      <c r="K90" s="1833">
        <f t="shared" si="20"/>
        <v>84</v>
      </c>
      <c r="L90" s="1833">
        <f t="shared" si="20"/>
        <v>82</v>
      </c>
      <c r="M90" s="1833">
        <f t="shared" si="20"/>
        <v>80</v>
      </c>
      <c r="N90" s="2987"/>
      <c r="O90" s="2987"/>
      <c r="P90" s="2028"/>
      <c r="Q90" s="1792"/>
    </row>
    <row r="91" spans="1:17" s="1742" customFormat="1" ht="15.75" thickTop="1">
      <c r="A91" s="1840"/>
      <c r="B91" s="1829" t="str">
        <f>B28</f>
        <v>朝向</v>
      </c>
      <c r="C91" s="3715" t="s">
        <v>3028</v>
      </c>
      <c r="D91" s="3715" t="s">
        <v>3030</v>
      </c>
      <c r="E91" s="3715" t="s">
        <v>3031</v>
      </c>
      <c r="F91" s="3715" t="s">
        <v>3029</v>
      </c>
      <c r="G91" s="3715" t="s">
        <v>3032</v>
      </c>
      <c r="H91" s="3716" t="s">
        <v>3033</v>
      </c>
      <c r="I91" s="3716" t="s">
        <v>3034</v>
      </c>
      <c r="J91" s="3716" t="s">
        <v>3035</v>
      </c>
      <c r="K91" s="3716" t="s">
        <v>3036</v>
      </c>
      <c r="L91" s="443"/>
      <c r="M91" s="1841"/>
      <c r="N91" s="2988"/>
      <c r="O91" s="2988"/>
      <c r="P91" s="2029"/>
      <c r="Q91" s="1844"/>
    </row>
    <row r="92" spans="1:17" s="1742" customFormat="1" ht="15.75" thickBot="1">
      <c r="A92" s="1840"/>
      <c r="B92" s="1832"/>
      <c r="C92" s="1862">
        <v>100</v>
      </c>
      <c r="D92" s="1833">
        <f t="shared" ref="D92:M92" si="21">C92-$K28</f>
        <v>99.5</v>
      </c>
      <c r="E92" s="1833">
        <f t="shared" si="21"/>
        <v>99</v>
      </c>
      <c r="F92" s="1833">
        <f t="shared" si="21"/>
        <v>98.5</v>
      </c>
      <c r="G92" s="1833">
        <f t="shared" si="21"/>
        <v>98</v>
      </c>
      <c r="H92" s="1833">
        <f t="shared" si="21"/>
        <v>97.5</v>
      </c>
      <c r="I92" s="1833">
        <f t="shared" si="21"/>
        <v>97</v>
      </c>
      <c r="J92" s="1833">
        <f t="shared" si="21"/>
        <v>96.5</v>
      </c>
      <c r="K92" s="1833">
        <f t="shared" si="21"/>
        <v>96</v>
      </c>
      <c r="L92" s="1833">
        <f t="shared" si="21"/>
        <v>95.5</v>
      </c>
      <c r="M92" s="1833">
        <f t="shared" si="21"/>
        <v>95</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2216</v>
      </c>
      <c r="B101" s="1818" t="s">
        <v>2265</v>
      </c>
      <c r="C101" s="3712" t="s">
        <v>3017</v>
      </c>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98</v>
      </c>
      <c r="E102" s="1833">
        <f t="shared" si="22"/>
        <v>96</v>
      </c>
      <c r="F102" s="1833">
        <f t="shared" si="22"/>
        <v>94</v>
      </c>
      <c r="G102" s="1833">
        <f t="shared" si="22"/>
        <v>92</v>
      </c>
      <c r="H102" s="1833">
        <f t="shared" si="22"/>
        <v>90</v>
      </c>
      <c r="I102" s="1833">
        <f t="shared" si="22"/>
        <v>88</v>
      </c>
      <c r="J102" s="1833">
        <f t="shared" si="22"/>
        <v>86</v>
      </c>
      <c r="K102" s="1833">
        <f t="shared" si="22"/>
        <v>84</v>
      </c>
      <c r="L102" s="1833">
        <f t="shared" si="22"/>
        <v>82</v>
      </c>
      <c r="M102" s="1834">
        <f t="shared" si="22"/>
        <v>80</v>
      </c>
      <c r="N102" s="2987"/>
      <c r="O102" s="2987"/>
      <c r="P102" s="2028"/>
      <c r="Q102" s="1792"/>
    </row>
    <row r="103" spans="1:17" ht="15.75" thickTop="1">
      <c r="A103" s="1824"/>
      <c r="B103" s="1829" t="s">
        <v>2266</v>
      </c>
      <c r="C103" s="579" t="str">
        <f>C104&amp;"(含)"&amp;"-"&amp;D104</f>
        <v>0(含)-50</v>
      </c>
      <c r="D103" s="579" t="str">
        <f t="shared" ref="D103:L103" si="23">D104&amp;"(含)"&amp;"-"&amp;E104</f>
        <v>50(含)-100</v>
      </c>
      <c r="E103" s="579" t="str">
        <f t="shared" si="23"/>
        <v>100(含)-150</v>
      </c>
      <c r="F103" s="579" t="str">
        <f t="shared" si="23"/>
        <v>150(含)-200</v>
      </c>
      <c r="G103" s="579" t="str">
        <f t="shared" si="23"/>
        <v>200(含)-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589">
        <v>0</v>
      </c>
      <c r="D104" s="590">
        <v>50</v>
      </c>
      <c r="E104" s="590">
        <v>100</v>
      </c>
      <c r="F104" s="590">
        <v>150</v>
      </c>
      <c r="G104" s="590">
        <v>200</v>
      </c>
      <c r="H104" s="1872"/>
      <c r="I104" s="1872"/>
      <c r="J104" s="485"/>
      <c r="K104" s="485"/>
      <c r="L104" s="485"/>
      <c r="M104" s="1873"/>
      <c r="N104" s="2988"/>
      <c r="O104" s="2988"/>
      <c r="P104" s="2029"/>
      <c r="Q104" s="1844"/>
    </row>
    <row r="105" spans="1:17" s="1742" customFormat="1" ht="15.75" thickBot="1">
      <c r="A105" s="1840"/>
      <c r="B105" s="1832"/>
      <c r="C105" s="883">
        <v>96</v>
      </c>
      <c r="D105" s="884">
        <v>98</v>
      </c>
      <c r="E105" s="884">
        <v>100</v>
      </c>
      <c r="F105" s="884">
        <v>98</v>
      </c>
      <c r="G105" s="884">
        <v>96</v>
      </c>
      <c r="H105" s="1826"/>
      <c r="I105" s="1826"/>
      <c r="J105" s="1826"/>
      <c r="K105" s="1826"/>
      <c r="L105" s="1826"/>
      <c r="M105" s="1827"/>
      <c r="N105" s="2987"/>
      <c r="O105" s="2987"/>
      <c r="P105" s="2029"/>
      <c r="Q105" s="1844"/>
    </row>
    <row r="106" spans="1:17" ht="15" thickTop="1">
      <c r="A106" s="1874"/>
      <c r="B106" s="1829" t="s">
        <v>2267</v>
      </c>
      <c r="C106" s="3713" t="s">
        <v>3018</v>
      </c>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98</v>
      </c>
      <c r="E107" s="1833">
        <f t="shared" si="24"/>
        <v>96</v>
      </c>
      <c r="F107" s="1833">
        <f t="shared" si="24"/>
        <v>94</v>
      </c>
      <c r="G107" s="1833">
        <f t="shared" si="24"/>
        <v>92</v>
      </c>
      <c r="H107" s="1833">
        <f t="shared" si="24"/>
        <v>90</v>
      </c>
      <c r="I107" s="1833">
        <f t="shared" si="24"/>
        <v>88</v>
      </c>
      <c r="J107" s="1833">
        <f t="shared" si="24"/>
        <v>86</v>
      </c>
      <c r="K107" s="1833">
        <f t="shared" si="24"/>
        <v>84</v>
      </c>
      <c r="L107" s="1833">
        <f t="shared" si="24"/>
        <v>82</v>
      </c>
      <c r="M107" s="1834">
        <f t="shared" si="24"/>
        <v>80</v>
      </c>
      <c r="N107" s="2987"/>
      <c r="O107" s="2987"/>
      <c r="P107" s="2028"/>
      <c r="Q107" s="1792"/>
    </row>
    <row r="108" spans="1:17" ht="15" thickTop="1">
      <c r="A108" s="1874"/>
      <c r="B108" s="1829" t="s">
        <v>2269</v>
      </c>
      <c r="C108" s="3713" t="s">
        <v>3020</v>
      </c>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98</v>
      </c>
      <c r="E109" s="1833">
        <f t="shared" si="25"/>
        <v>96</v>
      </c>
      <c r="F109" s="1833">
        <f t="shared" si="25"/>
        <v>94</v>
      </c>
      <c r="G109" s="1833">
        <f t="shared" si="25"/>
        <v>92</v>
      </c>
      <c r="H109" s="1833">
        <f t="shared" si="25"/>
        <v>90</v>
      </c>
      <c r="I109" s="1833">
        <f t="shared" si="25"/>
        <v>88</v>
      </c>
      <c r="J109" s="1833">
        <f t="shared" si="25"/>
        <v>86</v>
      </c>
      <c r="K109" s="1833">
        <f t="shared" si="25"/>
        <v>84</v>
      </c>
      <c r="L109" s="1833">
        <f t="shared" si="25"/>
        <v>82</v>
      </c>
      <c r="M109" s="1834">
        <f t="shared" si="25"/>
        <v>80</v>
      </c>
      <c r="N109" s="2987"/>
      <c r="O109" s="2987"/>
      <c r="P109" s="2028"/>
      <c r="Q109" s="1792"/>
    </row>
    <row r="110" spans="1:17" ht="15" thickTop="1">
      <c r="A110" s="1874"/>
      <c r="B110" s="1829" t="s">
        <v>2270</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102</v>
      </c>
      <c r="E112" s="1833">
        <f t="shared" ref="E112:M112" si="26">D112+$K37</f>
        <v>104</v>
      </c>
      <c r="F112" s="1833">
        <f t="shared" si="26"/>
        <v>106</v>
      </c>
      <c r="G112" s="1833">
        <f t="shared" si="26"/>
        <v>108</v>
      </c>
      <c r="H112" s="1833">
        <f t="shared" si="26"/>
        <v>110</v>
      </c>
      <c r="I112" s="1833">
        <f t="shared" si="26"/>
        <v>112</v>
      </c>
      <c r="J112" s="1833">
        <f t="shared" si="26"/>
        <v>114</v>
      </c>
      <c r="K112" s="1833">
        <f t="shared" si="26"/>
        <v>116</v>
      </c>
      <c r="L112" s="1833">
        <f t="shared" si="26"/>
        <v>118</v>
      </c>
      <c r="M112" s="1833">
        <f t="shared" si="26"/>
        <v>120</v>
      </c>
      <c r="N112" s="2987"/>
      <c r="O112" s="2987"/>
      <c r="P112" s="2028"/>
      <c r="Q112" s="1792"/>
    </row>
    <row r="113" spans="1:17" s="1742" customFormat="1" ht="15" thickTop="1">
      <c r="A113" s="1870"/>
      <c r="B113" s="1829" t="s">
        <v>2340</v>
      </c>
      <c r="C113" s="468"/>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8"/>
      <c r="O114" s="2988"/>
      <c r="P114" s="2029"/>
      <c r="Q114" s="1844"/>
    </row>
    <row r="115" spans="1:17" ht="15" thickTop="1">
      <c r="A115" s="1874"/>
      <c r="B115" s="1829" t="s">
        <v>2271</v>
      </c>
      <c r="C115" s="468"/>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7"/>
      <c r="O116" s="2987"/>
      <c r="P116" s="2028"/>
      <c r="Q116" s="1792"/>
    </row>
    <row r="117" spans="1:17" ht="15" thickTop="1">
      <c r="A117" s="1874"/>
      <c r="B117" s="1829" t="s">
        <v>2272</v>
      </c>
      <c r="C117" s="468"/>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7"/>
      <c r="O118" s="2987"/>
      <c r="P118" s="2028"/>
      <c r="Q118" s="1792"/>
    </row>
    <row r="119" spans="1:17" ht="15" thickTop="1">
      <c r="A119" s="1874"/>
      <c r="B119" s="2476" t="s">
        <v>2341</v>
      </c>
      <c r="C119" s="3714" t="s">
        <v>3022</v>
      </c>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98</v>
      </c>
      <c r="E120" s="1833">
        <f t="shared" ref="E120:M120" si="29">D120-$K41</f>
        <v>96</v>
      </c>
      <c r="F120" s="1833">
        <f t="shared" si="29"/>
        <v>94</v>
      </c>
      <c r="G120" s="1833">
        <f t="shared" si="29"/>
        <v>92</v>
      </c>
      <c r="H120" s="1833">
        <f t="shared" si="29"/>
        <v>90</v>
      </c>
      <c r="I120" s="1833">
        <f t="shared" si="29"/>
        <v>88</v>
      </c>
      <c r="J120" s="1833">
        <f t="shared" si="29"/>
        <v>86</v>
      </c>
      <c r="K120" s="1833">
        <f t="shared" si="29"/>
        <v>84</v>
      </c>
      <c r="L120" s="1833">
        <f t="shared" si="29"/>
        <v>82</v>
      </c>
      <c r="M120" s="1833">
        <f t="shared" si="29"/>
        <v>80</v>
      </c>
      <c r="N120" s="2987"/>
      <c r="O120" s="2987"/>
      <c r="P120" s="2028"/>
      <c r="Q120" s="1792"/>
    </row>
    <row r="121" spans="1:17" s="1742" customFormat="1" ht="15" thickTop="1">
      <c r="A121" s="1870"/>
      <c r="B121" s="1829" t="s">
        <v>2323</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2274</v>
      </c>
      <c r="C123" s="3713" t="s">
        <v>3020</v>
      </c>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7"/>
      <c r="O124" s="2987"/>
      <c r="P124" s="2028"/>
      <c r="Q124" s="1792"/>
    </row>
    <row r="125" spans="1:17" ht="15" thickTop="1">
      <c r="A125" s="1874"/>
      <c r="B125" s="1829" t="s">
        <v>2275</v>
      </c>
      <c r="C125" s="579" t="s">
        <v>2250</v>
      </c>
      <c r="D125" s="579" t="s">
        <v>2251</v>
      </c>
      <c r="E125" s="579" t="s">
        <v>2252</v>
      </c>
      <c r="F125" s="579" t="s">
        <v>2253</v>
      </c>
      <c r="G125" s="579" t="s">
        <v>2254</v>
      </c>
      <c r="H125" s="1830"/>
      <c r="I125" s="1830"/>
      <c r="J125" s="1830"/>
      <c r="K125" s="428"/>
      <c r="L125" s="428"/>
      <c r="M125" s="1831"/>
      <c r="N125" s="2986"/>
      <c r="O125" s="2986"/>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702B-6EE1-4238-A295-45D82E26AF64}">
  <dimension ref="A1:F7"/>
  <sheetViews>
    <sheetView workbookViewId="0">
      <selection activeCell="F5" sqref="F5"/>
    </sheetView>
  </sheetViews>
  <sheetFormatPr defaultRowHeight="13.5"/>
  <sheetData>
    <row r="1" spans="1:6">
      <c r="A1" s="1311" t="s">
        <v>3006</v>
      </c>
      <c r="B1" s="1311" t="s">
        <v>3007</v>
      </c>
      <c r="C1" s="1311" t="s">
        <v>3008</v>
      </c>
      <c r="D1" s="1311" t="s">
        <v>3009</v>
      </c>
    </row>
    <row r="2" spans="1:6">
      <c r="A2">
        <v>1</v>
      </c>
      <c r="B2">
        <v>61.25</v>
      </c>
      <c r="C2">
        <v>180</v>
      </c>
      <c r="D2">
        <f>ROUND(C2/B2*10000,0)</f>
        <v>29388</v>
      </c>
      <c r="E2" s="1311" t="s">
        <v>3012</v>
      </c>
      <c r="F2" s="1311" t="s">
        <v>3027</v>
      </c>
    </row>
    <row r="3" spans="1:6">
      <c r="A3">
        <v>2</v>
      </c>
      <c r="B3">
        <v>63.04</v>
      </c>
      <c r="C3">
        <v>180</v>
      </c>
      <c r="D3">
        <f t="shared" ref="D3:D4" si="0">ROUND(C3/B3*10000,0)</f>
        <v>28553</v>
      </c>
      <c r="E3" s="1311" t="s">
        <v>3013</v>
      </c>
      <c r="F3" s="1311" t="s">
        <v>3027</v>
      </c>
    </row>
    <row r="4" spans="1:6">
      <c r="A4">
        <v>3</v>
      </c>
      <c r="B4">
        <v>63</v>
      </c>
      <c r="C4">
        <v>210</v>
      </c>
      <c r="D4">
        <f t="shared" si="0"/>
        <v>33333</v>
      </c>
      <c r="E4" s="1311" t="s">
        <v>3012</v>
      </c>
      <c r="F4" s="1311" t="s">
        <v>3027</v>
      </c>
    </row>
    <row r="5" spans="1:6">
      <c r="D5">
        <f>(D2+D3+D4)/3</f>
        <v>30424.666666666668</v>
      </c>
    </row>
    <row r="7" spans="1:6">
      <c r="A7" s="1311" t="s">
        <v>3010</v>
      </c>
      <c r="B7" s="1311" t="s">
        <v>3011</v>
      </c>
    </row>
  </sheetData>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F36" sqref="F3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t="s">
        <v>2998</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141</v>
      </c>
      <c r="C2" s="79" t="str">
        <f>'数据-取费表'!B3</f>
        <v>万元</v>
      </c>
      <c r="D2" s="1486" t="s">
        <v>1184</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f ca="1">ROUND(C52/IF(B1="仅计算典型户型",'数据-取费表'!E5,'数据-取费表'!B5),0)</f>
        <v>22335</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1861</v>
      </c>
      <c r="B5" s="89" t="s">
        <v>1862</v>
      </c>
      <c r="C5" s="111">
        <f>C6+C7+C8</f>
        <v>807499</v>
      </c>
      <c r="D5" s="111" t="s">
        <v>1863</v>
      </c>
      <c r="E5" s="1137" t="s">
        <v>1864</v>
      </c>
      <c r="F5" s="1137"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6">
        <f>基准地价修正!E29</f>
        <v>771372</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23527</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12600</v>
      </c>
      <c r="D8" s="1141"/>
      <c r="E8" s="115"/>
      <c r="F8" s="1140"/>
      <c r="G8" s="1488" t="s">
        <v>3000</v>
      </c>
    </row>
    <row r="9" spans="1:123" s="91" customFormat="1" ht="13.5" customHeight="1">
      <c r="A9" s="993" t="s">
        <v>945</v>
      </c>
      <c r="B9" s="97" t="s">
        <v>1872</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2">
        <f>ROUND(D10*E10,0)</f>
        <v>12600</v>
      </c>
      <c r="D10" s="1143">
        <f>IF('数据-取费表'!B10&lt;&gt;"住宅",IF(B1="仅计算典型户型",'数据-取费表'!E5,'数据-取费表'!B5),0)</f>
        <v>63</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9"/>
      <c r="F14" s="1139"/>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9"/>
      <c r="F15" s="1139"/>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5"/>
      <c r="D17" s="1145"/>
      <c r="E17" s="1145"/>
      <c r="F17" s="1145"/>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9"/>
      <c r="F18" s="1140">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t="str">
        <f>IF(G19="已包含在土地取得成本中","0",ROUND(D19*E19,0))</f>
        <v>0</v>
      </c>
      <c r="D19" s="1146">
        <f>IF(B1="仅计算典型户型",'数据-取费表'!E5,'数据-取费表'!B5)</f>
        <v>63</v>
      </c>
      <c r="E19" s="111">
        <f>'数据-取费表'!E15</f>
        <v>200</v>
      </c>
      <c r="F19" s="112"/>
      <c r="G19" s="1488" t="s">
        <v>2999</v>
      </c>
    </row>
    <row r="20" spans="1:123" s="91" customFormat="1" ht="13.5" customHeight="1">
      <c r="A20" s="120" t="s">
        <v>1885</v>
      </c>
      <c r="B20" s="89" t="s">
        <v>1886</v>
      </c>
      <c r="C20" s="99">
        <f>ROUND((C5+C19)*F20,0)</f>
        <v>16150</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72483</v>
      </c>
      <c r="D22" s="101">
        <f ca="1">C26</f>
        <v>8.9999999999999998E-4</v>
      </c>
      <c r="E22" s="102" t="s">
        <v>1890</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6">
        <f ca="1">ROUND(IF('数据-取费表'!B24&lt;=1,C5*F22*'数据-取费表'!B25,C5*(POWER((1+F22),'数据-取费表'!B25)-1)),0)</f>
        <v>71780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6">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6">
        <f ca="1">ROUND(IF('数据-取费表'!B24&lt;=1,C20*F22*'数据-取费表'!B25/2,C20*(POWER((1+F22),'数据-取费表'!B25/2)-1)),0)</f>
        <v>703</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f>C28</f>
        <v>123547</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123547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1104984</v>
      </c>
      <c r="D31" s="1146"/>
      <c r="E31" s="111"/>
      <c r="F31" s="1147"/>
      <c r="G31" s="100" t="s">
        <v>1912</v>
      </c>
    </row>
    <row r="32" spans="1:123" s="88" customFormat="1" ht="15.75">
      <c r="A32" s="117" t="s">
        <v>1913</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1914</v>
      </c>
      <c r="B33" s="89" t="s">
        <v>1915</v>
      </c>
      <c r="C33" s="121">
        <f>SUM(C34:C38)</f>
        <v>275940</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252000</v>
      </c>
      <c r="D34" s="1138"/>
      <c r="E34" s="115"/>
      <c r="F34" s="1149" t="str">
        <f>IF('数据-取费表'!B26=0,"",'数据-取费表'!E20)</f>
        <v/>
      </c>
      <c r="G34" s="95"/>
    </row>
    <row r="35" spans="1:123" ht="13.5" customHeight="1">
      <c r="A35" s="92" t="s">
        <v>1868</v>
      </c>
      <c r="B35" s="93" t="s">
        <v>1917</v>
      </c>
      <c r="C35" s="115">
        <f>ROUND(C34*F35,0)</f>
        <v>7560</v>
      </c>
      <c r="D35" s="115"/>
      <c r="E35" s="115"/>
      <c r="F35" s="1150">
        <f>'数据-取费表'!E21</f>
        <v>0.03</v>
      </c>
      <c r="G35" s="95" t="s">
        <v>1918</v>
      </c>
    </row>
    <row r="36" spans="1:123" ht="24">
      <c r="A36" s="92" t="s">
        <v>1870</v>
      </c>
      <c r="B36" s="93" t="s">
        <v>1919</v>
      </c>
      <c r="C36" s="115">
        <f>ROUND(IF('数据-取费表'!B10="住宅",C34*F36,0),0)</f>
        <v>0</v>
      </c>
      <c r="D36" s="115"/>
      <c r="E36" s="115"/>
      <c r="F36" s="1150">
        <f>'数据-取费表'!E22</f>
        <v>0</v>
      </c>
      <c r="G36" s="123" t="s">
        <v>1920</v>
      </c>
    </row>
    <row r="37" spans="1:123" s="122" customFormat="1" ht="13.5" customHeight="1">
      <c r="A37" s="92" t="s">
        <v>1901</v>
      </c>
      <c r="B37" s="93" t="s">
        <v>1921</v>
      </c>
      <c r="C37" s="115">
        <f>ROUND(E37*D37,0)</f>
        <v>12600</v>
      </c>
      <c r="D37" s="1138">
        <f>IF(B1="仅计算典型户型",'数据-取费表'!E5,'数据-取费表'!B5)</f>
        <v>63</v>
      </c>
      <c r="E37" s="115">
        <f>'数据-取费表'!E23</f>
        <v>200</v>
      </c>
      <c r="F37" s="1150"/>
      <c r="G37" s="124" t="s">
        <v>1922</v>
      </c>
    </row>
    <row r="38" spans="1:123" ht="13.5" customHeight="1">
      <c r="A38" s="92" t="s">
        <v>1923</v>
      </c>
      <c r="B38" s="93" t="s">
        <v>1924</v>
      </c>
      <c r="C38" s="115">
        <f>ROUND(C34*F38,0)</f>
        <v>3780</v>
      </c>
      <c r="D38" s="115"/>
      <c r="E38" s="115"/>
      <c r="F38" s="1150">
        <f>'数据-取费表'!E24</f>
        <v>1.4999999999999999E-2</v>
      </c>
      <c r="G38" s="95" t="s">
        <v>1918</v>
      </c>
    </row>
    <row r="39" spans="1:123" s="91" customFormat="1" ht="13.5" customHeight="1">
      <c r="A39" s="120" t="s">
        <v>1883</v>
      </c>
      <c r="B39" s="89" t="s">
        <v>1886</v>
      </c>
      <c r="C39" s="99">
        <f>ROUND(C33*F20,0)</f>
        <v>5519</v>
      </c>
      <c r="D39" s="99"/>
      <c r="E39" s="99"/>
      <c r="F39" s="2858">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3">
        <f>F21</f>
        <v>0.02</v>
      </c>
      <c r="D40" s="102" t="s">
        <v>1926</v>
      </c>
      <c r="E40" s="99"/>
      <c r="F40" s="2858">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12243</v>
      </c>
      <c r="D41" s="101">
        <f ca="1">C44</f>
        <v>8.9999999999999998E-4</v>
      </c>
      <c r="E41" s="102" t="s">
        <v>1926</v>
      </c>
      <c r="F41" s="285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12003</v>
      </c>
      <c r="D42" s="104"/>
      <c r="E42" s="104"/>
      <c r="F42" s="105"/>
      <c r="G42" s="3586" t="s">
        <v>1928</v>
      </c>
    </row>
    <row r="43" spans="1:123" ht="13.5" customHeight="1">
      <c r="A43" s="92" t="s">
        <v>1868</v>
      </c>
      <c r="B43" s="93" t="s">
        <v>1897</v>
      </c>
      <c r="C43" s="104">
        <f ca="1">ROUND(IF('数据-取费表'!B24&lt;=1,C39*F22*'数据-取费表'!B23/2,C39*(POWER((1+F22),'数据-取费表'!B23/2)-1)),0)</f>
        <v>240</v>
      </c>
      <c r="D43" s="104"/>
      <c r="E43" s="104"/>
      <c r="F43" s="105"/>
      <c r="G43" s="3587"/>
    </row>
    <row r="44" spans="1:123" ht="13.5" customHeight="1">
      <c r="A44" s="92" t="s">
        <v>1870</v>
      </c>
      <c r="B44" s="93" t="s">
        <v>1899</v>
      </c>
      <c r="C44" s="104">
        <f ca="1">ROUND(IF('数据-取费表'!B24&lt;=1,C40*F22*'数据-取费表'!B23/2,C40*(POWER((1+F22),'数据-取费表'!B23/2)-1)),4)</f>
        <v>8.9999999999999998E-4</v>
      </c>
      <c r="D44" s="104"/>
      <c r="E44" s="104"/>
      <c r="F44" s="105"/>
      <c r="G44" s="3588"/>
    </row>
    <row r="45" spans="1:123" s="91" customFormat="1" ht="13.5" customHeight="1">
      <c r="A45" s="120" t="s">
        <v>1892</v>
      </c>
      <c r="B45" s="110" t="s">
        <v>1904</v>
      </c>
      <c r="C45" s="111">
        <f>C46</f>
        <v>42219</v>
      </c>
      <c r="D45" s="101">
        <f>C47</f>
        <v>3.0000000000000001E-3</v>
      </c>
      <c r="E45" s="102" t="s">
        <v>1926</v>
      </c>
      <c r="F45" s="2859">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42219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3">
        <f>ROUND(F30/(1+'数据-取费表'!F30),4)</f>
        <v>5.33E-2</v>
      </c>
      <c r="D48" s="102" t="s">
        <v>1926</v>
      </c>
      <c r="E48" s="99"/>
      <c r="F48" s="2858">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364024</v>
      </c>
      <c r="D49" s="99"/>
      <c r="E49" s="99"/>
      <c r="F49" s="126"/>
      <c r="G49" s="100" t="s">
        <v>1936</v>
      </c>
    </row>
    <row r="50" spans="1:123" s="122" customFormat="1" ht="24">
      <c r="A50" s="994" t="s">
        <v>1937</v>
      </c>
      <c r="B50" s="89" t="s">
        <v>1938</v>
      </c>
      <c r="C50" s="99"/>
      <c r="D50" s="99"/>
      <c r="E50" s="99"/>
      <c r="F50" s="126">
        <f>IF('数据-取费表'!B26=0,'数据-取费表'!E20,1)</f>
        <v>0.83</v>
      </c>
      <c r="G50" s="113" t="s">
        <v>1939</v>
      </c>
    </row>
    <row r="51" spans="1:123" ht="16.5" customHeight="1">
      <c r="A51" s="994" t="s">
        <v>1940</v>
      </c>
      <c r="B51" s="89" t="s">
        <v>1941</v>
      </c>
      <c r="C51" s="99">
        <f ca="1">ROUND(C49*F50,0)</f>
        <v>302140</v>
      </c>
      <c r="D51" s="99"/>
      <c r="E51" s="99"/>
      <c r="F51" s="126"/>
      <c r="G51" s="100" t="s">
        <v>1942</v>
      </c>
    </row>
    <row r="52" spans="1:123" s="88" customFormat="1" ht="16.5" thickBot="1">
      <c r="A52" s="127" t="s">
        <v>1943</v>
      </c>
      <c r="B52" s="128"/>
      <c r="C52" s="129">
        <f ca="1">C31+C51</f>
        <v>1407124</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1944</v>
      </c>
      <c r="C55" s="133"/>
    </row>
    <row r="56" spans="1:123">
      <c r="B56" s="135" t="s">
        <v>1945</v>
      </c>
      <c r="C56" s="136">
        <f ca="1">ROUND(C51/C52,3)</f>
        <v>0.215</v>
      </c>
    </row>
    <row r="57" spans="1:123">
      <c r="B57" s="135" t="s">
        <v>1946</v>
      </c>
      <c r="C57" s="137">
        <f ca="1">1-C56</f>
        <v>0.78500000000000003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5"/>
      <c r="E1" s="924"/>
      <c r="F1" s="924"/>
      <c r="G1" s="924"/>
      <c r="H1" s="924"/>
      <c r="I1" s="924"/>
      <c r="J1" s="924"/>
      <c r="K1" s="924"/>
    </row>
    <row r="2" spans="1:33" s="139" customFormat="1" ht="18" customHeight="1">
      <c r="A2" s="81" t="s">
        <v>1231</v>
      </c>
      <c r="B2" s="84">
        <f ca="1">IF(C2="元",C32,ROUND(C32/10000,0))</f>
        <v>149</v>
      </c>
      <c r="C2" s="1371" t="str">
        <f>'数据-取费表'!B3</f>
        <v>万元</v>
      </c>
      <c r="D2" s="924"/>
      <c r="E2" s="924"/>
      <c r="F2" s="924"/>
      <c r="G2" s="924"/>
      <c r="H2" s="924"/>
      <c r="I2" s="924"/>
      <c r="J2" s="924"/>
      <c r="K2" s="924"/>
    </row>
    <row r="3" spans="1:33" s="139" customFormat="1" ht="18" customHeight="1" thickBot="1">
      <c r="A3" s="83" t="s">
        <v>1232</v>
      </c>
      <c r="B3" s="84">
        <f ca="1">ROUND(C32/IF(C1="仅计算典型户型",'数据-取费表'!E5,'数据-取费表'!B5),0)</f>
        <v>23706</v>
      </c>
      <c r="C3" s="1371" t="s">
        <v>1233</v>
      </c>
      <c r="D3" s="924"/>
      <c r="E3" s="924"/>
      <c r="F3" s="924"/>
      <c r="G3" s="924"/>
      <c r="H3" s="924"/>
      <c r="I3" s="924"/>
      <c r="J3" s="924"/>
      <c r="K3" s="924"/>
    </row>
    <row r="4" spans="1:33" s="143" customFormat="1" ht="16.5" customHeight="1">
      <c r="A4" s="140" t="s">
        <v>1234</v>
      </c>
      <c r="B4" s="141"/>
      <c r="C4" s="1094">
        <f>SUM(C8:K8)</f>
        <v>2205000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63</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1241</v>
      </c>
      <c r="B8" s="147" t="s">
        <v>1242</v>
      </c>
      <c r="C8" s="610">
        <f>C6*C7</f>
        <v>2205000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252000</v>
      </c>
      <c r="D11" s="164"/>
      <c r="E11" s="34"/>
      <c r="F11" s="165">
        <f>1-'数据-取费表'!E20</f>
        <v>0.17000000000000004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7560</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2142</v>
      </c>
      <c r="D14" s="164">
        <f>IF(C1="仅计算典型户型",'数据-取费表'!E5,'数据-取费表'!B5)</f>
        <v>63</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3780</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265482</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63</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0</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12600</v>
      </c>
      <c r="D20" s="164">
        <f>IF('数据-取费表'!B10&lt;&gt;"住宅",IF(C1="仅计算典型户型",'数据-取费表'!E5,'数据-取费表'!B5),0)</f>
        <v>63</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265482</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5310</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7497</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4.3499999999999997E-2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41743</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41743</v>
      </c>
      <c r="D30" s="193"/>
      <c r="E30" s="206"/>
      <c r="F30" s="203"/>
      <c r="G30" s="147"/>
      <c r="H30" s="170"/>
      <c r="I30" s="170"/>
      <c r="J30" s="170"/>
      <c r="K30" s="171"/>
    </row>
    <row r="31" spans="1:33" s="182" customFormat="1" ht="13.5" customHeight="1" thickBot="1">
      <c r="A31" s="1373" t="s">
        <v>1290</v>
      </c>
      <c r="B31" s="177" t="s">
        <v>1291</v>
      </c>
      <c r="C31" s="207">
        <f>ROUND(C4*F31/(1+'数据-取费表'!F30),0)</f>
        <v>117600</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1493466</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13" zoomScale="80" zoomScaleNormal="90" zoomScaleSheetLayoutView="80" workbookViewId="0">
      <selection activeCell="C8" sqref="C8"/>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2438</v>
      </c>
      <c r="B1" s="2068"/>
      <c r="C1" s="2069" t="s">
        <v>2439</v>
      </c>
      <c r="D1" s="2070">
        <f>SUM(D29:D30,D33:D39)</f>
        <v>63</v>
      </c>
      <c r="E1" s="2070"/>
      <c r="F1" s="2070"/>
      <c r="G1" s="2070"/>
      <c r="H1" s="2070"/>
      <c r="I1" s="2070"/>
      <c r="J1" s="2070"/>
      <c r="K1" s="3020"/>
      <c r="L1" s="2071" t="s">
        <v>2440</v>
      </c>
      <c r="M1" s="2072">
        <f>SUMPRODUCT((区片价!B5:B9=I2)*(区片价!C3:F3=E2)*(区片价!C5:F9))</f>
        <v>0</v>
      </c>
      <c r="N1" s="2073">
        <f>SUMPRODUCT((因素修正幅度!B5:B9=I2)*(因素修正幅度!C3:F3=E2)*(因素修正幅度!C5:F9))</f>
        <v>0</v>
      </c>
      <c r="O1" s="3020"/>
      <c r="P1" s="3020"/>
      <c r="Q1" s="3020"/>
      <c r="R1" s="2074" t="s">
        <v>2441</v>
      </c>
      <c r="S1" s="2074" t="s">
        <v>2442</v>
      </c>
      <c r="T1" s="2074" t="s">
        <v>2443</v>
      </c>
      <c r="U1" s="2074" t="s">
        <v>2444</v>
      </c>
      <c r="V1" s="2074" t="s">
        <v>2445</v>
      </c>
      <c r="W1" s="2075"/>
      <c r="X1" s="2075"/>
      <c r="Y1" s="2075"/>
      <c r="Z1" s="2075"/>
      <c r="AA1" s="2075"/>
      <c r="AB1" s="2075"/>
      <c r="AC1" s="2075"/>
      <c r="AD1" s="2076"/>
      <c r="AE1" s="2076"/>
      <c r="AF1" s="2076"/>
      <c r="AG1" s="2076"/>
      <c r="AH1" s="2076"/>
      <c r="AI1" s="2076"/>
      <c r="AJ1" s="2077"/>
    </row>
    <row r="2" spans="1:36" ht="24.75">
      <c r="A2" s="1931" t="s">
        <v>2446</v>
      </c>
      <c r="B2" s="1629">
        <f>C26</f>
        <v>771372</v>
      </c>
      <c r="C2" s="2078" t="s">
        <v>2447</v>
      </c>
      <c r="D2" s="1572" t="s">
        <v>2448</v>
      </c>
      <c r="E2" s="2079" t="s">
        <v>2987</v>
      </c>
      <c r="F2" s="1572" t="s">
        <v>2449</v>
      </c>
      <c r="G2" s="2080" t="str">
        <f>项目基本情况!F9</f>
        <v>六级</v>
      </c>
      <c r="H2" s="1573" t="s">
        <v>2450</v>
      </c>
      <c r="I2" s="2080" t="str">
        <f>项目基本情况!F10</f>
        <v>Ⅵ-19</v>
      </c>
      <c r="J2" s="2081"/>
      <c r="K2" s="3020"/>
      <c r="L2" s="2082" t="s">
        <v>2451</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1.8629</v>
      </c>
      <c r="T2" s="2074">
        <f>ROUND($C$5*$C$18*$C$19*$C$20*S2*$C$24,0)</f>
        <v>22809</v>
      </c>
      <c r="U2" s="2085"/>
      <c r="V2" s="2074">
        <f>ROUND(T2*U2/10000,0)</f>
        <v>0</v>
      </c>
      <c r="W2" s="2075"/>
      <c r="X2" s="2075"/>
      <c r="Y2" s="2075"/>
      <c r="Z2" s="2075"/>
      <c r="AA2" s="2075"/>
      <c r="AB2" s="2075"/>
      <c r="AC2" s="2075"/>
      <c r="AD2" s="2076"/>
      <c r="AE2" s="2076"/>
      <c r="AF2" s="2076"/>
      <c r="AG2" s="2076"/>
      <c r="AH2" s="2076"/>
      <c r="AI2" s="2076"/>
      <c r="AJ2" s="2077"/>
    </row>
    <row r="3" spans="1:36" ht="25.5">
      <c r="A3" s="1629" t="s">
        <v>2452</v>
      </c>
      <c r="B3" s="1629">
        <f>ROUND(B2/D1,0)</f>
        <v>12244</v>
      </c>
      <c r="C3" s="2078" t="s">
        <v>2453</v>
      </c>
      <c r="D3" s="1572" t="s">
        <v>2454</v>
      </c>
      <c r="E3" s="2079" t="s">
        <v>2990</v>
      </c>
      <c r="F3" s="1574" t="s">
        <v>2455</v>
      </c>
      <c r="G3" s="2086">
        <f>项目基本情况!C15</f>
        <v>2.5</v>
      </c>
      <c r="H3" s="50" t="s">
        <v>2456</v>
      </c>
      <c r="I3" s="2087"/>
      <c r="J3" s="2081" t="s">
        <v>2457</v>
      </c>
      <c r="K3" s="3020"/>
      <c r="L3" s="2082" t="s">
        <v>2458</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1.3371999999999999</v>
      </c>
      <c r="T3" s="2074">
        <f t="shared" ref="T3:T16" si="0">ROUND($C$5*$C$18*$C$19*$C$20*S3*$C$24,0)</f>
        <v>16373</v>
      </c>
      <c r="U3" s="2085"/>
      <c r="V3" s="2074">
        <f t="shared" ref="V3:V16" si="1">ROUND(T3*U3/10000,0)</f>
        <v>0</v>
      </c>
      <c r="W3" s="2075"/>
      <c r="X3" s="2075"/>
      <c r="Y3" s="2075"/>
      <c r="Z3" s="2075"/>
      <c r="AA3" s="2075"/>
      <c r="AB3" s="2075"/>
      <c r="AC3" s="2075"/>
      <c r="AD3" s="2076"/>
      <c r="AE3" s="2076"/>
      <c r="AF3" s="2076"/>
      <c r="AG3" s="2076"/>
      <c r="AH3" s="2076"/>
      <c r="AI3" s="2076"/>
      <c r="AJ3" s="2077"/>
    </row>
    <row r="4" spans="1:36" ht="15.75">
      <c r="A4" s="3606"/>
      <c r="B4" s="3607"/>
      <c r="C4" s="3607"/>
      <c r="D4" s="3608"/>
      <c r="E4" s="3608"/>
      <c r="F4" s="3608"/>
      <c r="G4" s="3608"/>
      <c r="H4" s="3608"/>
      <c r="I4" s="3608"/>
      <c r="J4" s="3609"/>
      <c r="K4" s="3020"/>
      <c r="L4" s="2082" t="s">
        <v>2459</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1.0788</v>
      </c>
      <c r="T4" s="2074">
        <f t="shared" si="0"/>
        <v>13209</v>
      </c>
      <c r="U4" s="2085"/>
      <c r="V4" s="2074">
        <f t="shared" si="1"/>
        <v>0</v>
      </c>
      <c r="W4" s="2075"/>
      <c r="X4" s="2075"/>
      <c r="Y4" s="2075"/>
      <c r="Z4" s="2075"/>
      <c r="AA4" s="2075"/>
      <c r="AB4" s="2075"/>
      <c r="AC4" s="2075"/>
      <c r="AD4" s="2076"/>
      <c r="AE4" s="2076"/>
      <c r="AF4" s="2076"/>
      <c r="AG4" s="2076"/>
      <c r="AH4" s="2076"/>
      <c r="AI4" s="2076"/>
      <c r="AJ4" s="2077"/>
    </row>
    <row r="5" spans="1:36" s="2095" customFormat="1" ht="15.75" thickBot="1">
      <c r="A5" s="1575" t="s">
        <v>2460</v>
      </c>
      <c r="B5" s="1575" t="s">
        <v>2461</v>
      </c>
      <c r="C5" s="2088">
        <f>ROUND(IF(E2="商业",C6*C7+C16,(IF(E2="住宅",C6*C12+C16,C6+C16))),0)</f>
        <v>9160</v>
      </c>
      <c r="D5" s="2089">
        <f>ROUND(C6+C16,0)</f>
        <v>9160</v>
      </c>
      <c r="E5" s="2089"/>
      <c r="F5" s="2090"/>
      <c r="G5" s="2091"/>
      <c r="H5" s="2091"/>
      <c r="I5" s="2091"/>
      <c r="J5" s="2048"/>
      <c r="K5" s="1637"/>
      <c r="L5" s="2082" t="s">
        <v>2462</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0.86560000000000004</v>
      </c>
      <c r="T5" s="2074">
        <f t="shared" si="0"/>
        <v>10598</v>
      </c>
      <c r="U5" s="2085"/>
      <c r="V5" s="2074">
        <f t="shared" si="1"/>
        <v>0</v>
      </c>
      <c r="W5" s="2075"/>
      <c r="X5" s="2075"/>
      <c r="Y5" s="2075"/>
      <c r="Z5" s="2075"/>
      <c r="AA5" s="2075"/>
      <c r="AB5" s="2075"/>
      <c r="AC5" s="2092"/>
      <c r="AD5" s="2093"/>
      <c r="AE5" s="2093"/>
      <c r="AF5" s="2093"/>
      <c r="AG5" s="2093"/>
      <c r="AH5" s="2093"/>
      <c r="AI5" s="2093"/>
      <c r="AJ5" s="2094"/>
    </row>
    <row r="6" spans="1:36" ht="15.75" thickBot="1">
      <c r="A6" s="2096">
        <v>1</v>
      </c>
      <c r="B6" s="1576" t="s">
        <v>2463</v>
      </c>
      <c r="C6" s="2097">
        <f>SUMIF(L1:L12,G2,M1:M12)</f>
        <v>9160</v>
      </c>
      <c r="D6" s="2098" t="s">
        <v>2464</v>
      </c>
      <c r="E6" s="1576"/>
      <c r="F6" s="1576"/>
      <c r="G6" s="2099"/>
      <c r="H6" s="2099"/>
      <c r="I6" s="2099"/>
      <c r="J6" s="2100"/>
      <c r="K6" s="3021"/>
      <c r="L6" s="2082" t="s">
        <v>2465</v>
      </c>
      <c r="M6" s="2083">
        <f>SUMPRODUCT((区片价!B110:B157=I2)*(区片价!C3:F3=E2)*(区片价!C110:F157))</f>
        <v>9160</v>
      </c>
      <c r="N6" s="2084">
        <f>SUMPRODUCT((因素修正幅度!B110:B157=I2)*(因素修正幅度!C3:F3=E2)*(因素修正幅度!C110:F157))</f>
        <v>0.12</v>
      </c>
      <c r="O6" s="3020"/>
      <c r="P6" s="3020"/>
      <c r="Q6" s="3020"/>
      <c r="R6" s="2074">
        <v>5</v>
      </c>
      <c r="S6" s="2074">
        <f>ROUND(IF(G3&gt;1,IF(R6&lt;7,SUMPRODUCT((B93:B98=R6)*(C92:N92=G2)*(C93:N98)),SUMIF(C92:N92,G2,C100:N100)),IF(R6&lt;7,SUMPRODUCT((B102:B107=R6)*(C92:N92=G2)*(C102:N107)),SUMIF(C92:N92,G2,C109:N109))),4)</f>
        <v>0.73709999999999998</v>
      </c>
      <c r="T6" s="2074">
        <f t="shared" si="0"/>
        <v>9025</v>
      </c>
      <c r="U6" s="2085"/>
      <c r="V6" s="2074">
        <f t="shared" si="1"/>
        <v>0</v>
      </c>
      <c r="W6" s="2075"/>
      <c r="X6" s="2075"/>
      <c r="Y6" s="2075"/>
      <c r="Z6" s="2075"/>
      <c r="AA6" s="2075"/>
      <c r="AB6" s="2075"/>
      <c r="AC6" s="2092"/>
      <c r="AD6" s="2093"/>
      <c r="AE6" s="2093"/>
      <c r="AF6" s="2093"/>
      <c r="AG6" s="2093"/>
      <c r="AH6" s="2093"/>
      <c r="AI6" s="2093"/>
      <c r="AJ6" s="2094"/>
    </row>
    <row r="7" spans="1:36" ht="24">
      <c r="A7" s="3610" t="str">
        <f>IF(E2="商业",IF(C8="不临58条商业街","",2),"")</f>
        <v/>
      </c>
      <c r="B7" s="1577" t="s">
        <v>2466</v>
      </c>
      <c r="C7" s="2101" t="e">
        <f>IF(C8="不临58条商业街",1,ROUND(1+(1.6*E8+1.2*E9+0.8*E10+0.4*E11)*C9,4))</f>
        <v>#DIV/0!</v>
      </c>
      <c r="D7" s="2102" t="s">
        <v>2467</v>
      </c>
      <c r="E7" s="2103"/>
      <c r="F7" s="2104"/>
      <c r="G7" s="2104"/>
      <c r="H7" s="2104"/>
      <c r="I7" s="2104"/>
      <c r="J7" s="2105"/>
      <c r="K7" s="3021"/>
      <c r="L7" s="2082" t="s">
        <v>2468</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0.6482</v>
      </c>
      <c r="T7" s="2074">
        <f t="shared" si="0"/>
        <v>7937</v>
      </c>
      <c r="U7" s="2085"/>
      <c r="V7" s="2074">
        <f t="shared" si="1"/>
        <v>0</v>
      </c>
      <c r="W7" s="2106" t="s">
        <v>2469</v>
      </c>
      <c r="X7" s="2107" t="str">
        <f>G2</f>
        <v>六级</v>
      </c>
      <c r="Y7" s="2107" t="s">
        <v>2470</v>
      </c>
      <c r="Z7" s="2108">
        <f>G3</f>
        <v>2.5</v>
      </c>
      <c r="AA7" s="2075"/>
      <c r="AB7" s="2075"/>
      <c r="AC7" s="2075"/>
      <c r="AD7" s="2076"/>
      <c r="AE7" s="2076"/>
      <c r="AF7" s="2076"/>
      <c r="AG7" s="2076"/>
      <c r="AH7" s="2076"/>
      <c r="AI7" s="2076"/>
      <c r="AJ7" s="2077"/>
    </row>
    <row r="8" spans="1:36" ht="15">
      <c r="A8" s="3611"/>
      <c r="B8" s="50" t="s">
        <v>2471</v>
      </c>
      <c r="C8" s="2109"/>
      <c r="D8" s="65" t="s">
        <v>89</v>
      </c>
      <c r="E8" s="2110" t="e">
        <f>ROUND(C11/E7,4)</f>
        <v>#DIV/0!</v>
      </c>
      <c r="F8" s="2111" t="s">
        <v>2472</v>
      </c>
      <c r="G8" s="2112"/>
      <c r="H8" s="2112"/>
      <c r="I8" s="2112"/>
      <c r="J8" s="2113"/>
      <c r="K8" s="3020"/>
      <c r="L8" s="2082" t="s">
        <v>2473</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0"/>
        <v>0</v>
      </c>
      <c r="U8" s="2085"/>
      <c r="V8" s="2074">
        <f t="shared" si="1"/>
        <v>0</v>
      </c>
      <c r="W8" s="3604" t="s">
        <v>2474</v>
      </c>
      <c r="X8" s="3605"/>
      <c r="Y8" s="2114" t="s">
        <v>2475</v>
      </c>
      <c r="Z8" s="2114" t="s">
        <v>2476</v>
      </c>
      <c r="AA8" s="2114" t="s">
        <v>2477</v>
      </c>
      <c r="AB8" s="2114" t="s">
        <v>2478</v>
      </c>
      <c r="AC8" s="2114" t="s">
        <v>2479</v>
      </c>
      <c r="AD8" s="2114" t="s">
        <v>2480</v>
      </c>
      <c r="AE8" s="2114" t="s">
        <v>2481</v>
      </c>
      <c r="AF8" s="2114" t="s">
        <v>2482</v>
      </c>
      <c r="AG8" s="2114" t="s">
        <v>2483</v>
      </c>
      <c r="AH8" s="2114" t="s">
        <v>2484</v>
      </c>
      <c r="AI8" s="2114" t="s">
        <v>2485</v>
      </c>
      <c r="AJ8" s="2114" t="s">
        <v>2486</v>
      </c>
    </row>
    <row r="9" spans="1:36" ht="15">
      <c r="A9" s="3611"/>
      <c r="B9" s="50" t="s">
        <v>2487</v>
      </c>
      <c r="C9" s="2115">
        <f>SUMIF(修正!C59:C119,C8,修正!E59:E119)</f>
        <v>0</v>
      </c>
      <c r="D9" s="50" t="s">
        <v>90</v>
      </c>
      <c r="E9" s="50" t="e">
        <f>ROUND(C11/E7,4)</f>
        <v>#DIV/0!</v>
      </c>
      <c r="F9" s="2111" t="s">
        <v>2488</v>
      </c>
      <c r="G9" s="2112"/>
      <c r="H9" s="2112"/>
      <c r="I9" s="2112"/>
      <c r="J9" s="2113"/>
      <c r="K9" s="3020"/>
      <c r="L9" s="2082" t="s">
        <v>2489</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0"/>
        <v>0</v>
      </c>
      <c r="U9" s="2085"/>
      <c r="V9" s="2074">
        <f t="shared" si="1"/>
        <v>0</v>
      </c>
      <c r="W9" s="3605" t="s">
        <v>2490</v>
      </c>
      <c r="X9" s="2116" t="s">
        <v>2491</v>
      </c>
      <c r="Y9" s="2117"/>
      <c r="Z9" s="2118">
        <f>$Y$9</f>
        <v>0</v>
      </c>
      <c r="AA9" s="2118">
        <f t="shared" ref="AA9:AJ9" si="2">$Y$9</f>
        <v>0</v>
      </c>
      <c r="AB9" s="2118">
        <f t="shared" si="2"/>
        <v>0</v>
      </c>
      <c r="AC9" s="2118">
        <f t="shared" si="2"/>
        <v>0</v>
      </c>
      <c r="AD9" s="2118">
        <f t="shared" si="2"/>
        <v>0</v>
      </c>
      <c r="AE9" s="2118">
        <f t="shared" si="2"/>
        <v>0</v>
      </c>
      <c r="AF9" s="2118">
        <f t="shared" si="2"/>
        <v>0</v>
      </c>
      <c r="AG9" s="2118">
        <f t="shared" si="2"/>
        <v>0</v>
      </c>
      <c r="AH9" s="2118">
        <f t="shared" si="2"/>
        <v>0</v>
      </c>
      <c r="AI9" s="2118">
        <f t="shared" si="2"/>
        <v>0</v>
      </c>
      <c r="AJ9" s="2118">
        <f t="shared" si="2"/>
        <v>0</v>
      </c>
    </row>
    <row r="10" spans="1:36" ht="15">
      <c r="A10" s="3611"/>
      <c r="B10" s="50" t="s">
        <v>2492</v>
      </c>
      <c r="C10" s="50">
        <f>SUMIF(修正!C59:C119,C8,修正!F59:F119)</f>
        <v>0</v>
      </c>
      <c r="D10" s="50" t="s">
        <v>91</v>
      </c>
      <c r="E10" s="50" t="e">
        <f>ROUND(C11/E7,4)</f>
        <v>#DIV/0!</v>
      </c>
      <c r="F10" s="2111" t="s">
        <v>2493</v>
      </c>
      <c r="G10" s="2112"/>
      <c r="H10" s="2112"/>
      <c r="I10" s="2112"/>
      <c r="J10" s="2113"/>
      <c r="K10" s="3020"/>
      <c r="L10" s="2082" t="s">
        <v>2494</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0"/>
        <v>0</v>
      </c>
      <c r="U10" s="2085"/>
      <c r="V10" s="2074">
        <f t="shared" si="1"/>
        <v>0</v>
      </c>
      <c r="W10" s="3605"/>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11"/>
      <c r="B11" s="1578" t="s">
        <v>2495</v>
      </c>
      <c r="C11" s="1578">
        <f>C10/4</f>
        <v>0</v>
      </c>
      <c r="D11" s="1578" t="s">
        <v>92</v>
      </c>
      <c r="E11" s="1578" t="e">
        <f>ROUND(C11/E7,4)</f>
        <v>#DIV/0!</v>
      </c>
      <c r="F11" s="2120" t="s">
        <v>2496</v>
      </c>
      <c r="G11" s="2121"/>
      <c r="H11" s="2121"/>
      <c r="I11" s="2121"/>
      <c r="J11" s="2122"/>
      <c r="K11" s="3020"/>
      <c r="L11" s="2082" t="s">
        <v>2497</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0"/>
        <v>0</v>
      </c>
      <c r="U11" s="2085"/>
      <c r="V11" s="2074">
        <f t="shared" si="1"/>
        <v>0</v>
      </c>
      <c r="W11" s="3605" t="s">
        <v>2498</v>
      </c>
      <c r="X11" s="2123" t="s">
        <v>2499</v>
      </c>
      <c r="Y11" s="2124">
        <f>$G$3</f>
        <v>2.5</v>
      </c>
      <c r="Z11" s="2124">
        <f t="shared" ref="Z11:AJ11" si="3">$G$3</f>
        <v>2.5</v>
      </c>
      <c r="AA11" s="2124">
        <f t="shared" si="3"/>
        <v>2.5</v>
      </c>
      <c r="AB11" s="2124">
        <f t="shared" si="3"/>
        <v>2.5</v>
      </c>
      <c r="AC11" s="2124">
        <f t="shared" si="3"/>
        <v>2.5</v>
      </c>
      <c r="AD11" s="2124">
        <f t="shared" si="3"/>
        <v>2.5</v>
      </c>
      <c r="AE11" s="2124">
        <f t="shared" si="3"/>
        <v>2.5</v>
      </c>
      <c r="AF11" s="2124">
        <f t="shared" si="3"/>
        <v>2.5</v>
      </c>
      <c r="AG11" s="2124">
        <f t="shared" si="3"/>
        <v>2.5</v>
      </c>
      <c r="AH11" s="2124">
        <f t="shared" si="3"/>
        <v>2.5</v>
      </c>
      <c r="AI11" s="2124">
        <f t="shared" si="3"/>
        <v>2.5</v>
      </c>
      <c r="AJ11" s="2124">
        <f t="shared" si="3"/>
        <v>2.5</v>
      </c>
    </row>
    <row r="12" spans="1:36" ht="25.5" thickBot="1">
      <c r="A12" s="3610" t="str">
        <f>IF(E2="住宅",2,"")</f>
        <v/>
      </c>
      <c r="B12" s="1579" t="s">
        <v>2500</v>
      </c>
      <c r="C12" s="2101">
        <f>ROUND(C15*D15*E15*F15*G15*H15*I15*J15,4)</f>
        <v>1.32</v>
      </c>
      <c r="D12" s="2125" t="s">
        <v>2501</v>
      </c>
      <c r="E12" s="2126"/>
      <c r="F12" s="2126"/>
      <c r="G12" s="2126"/>
      <c r="H12" s="2126"/>
      <c r="I12" s="2126"/>
      <c r="J12" s="2127"/>
      <c r="K12" s="3020"/>
      <c r="L12" s="2128" t="s">
        <v>2502</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0"/>
        <v>0</v>
      </c>
      <c r="U12" s="2085"/>
      <c r="V12" s="2074">
        <f t="shared" si="1"/>
        <v>0</v>
      </c>
      <c r="W12" s="3605"/>
      <c r="X12" s="2131" t="s">
        <v>2503</v>
      </c>
      <c r="Y12" s="2118">
        <f t="shared" ref="Y12:AJ12" si="4">Y9</f>
        <v>0</v>
      </c>
      <c r="Z12" s="2118">
        <f t="shared" si="4"/>
        <v>0</v>
      </c>
      <c r="AA12" s="2118">
        <f t="shared" si="4"/>
        <v>0</v>
      </c>
      <c r="AB12" s="2118">
        <f t="shared" si="4"/>
        <v>0</v>
      </c>
      <c r="AC12" s="2118">
        <f t="shared" si="4"/>
        <v>0</v>
      </c>
      <c r="AD12" s="2118">
        <f t="shared" si="4"/>
        <v>0</v>
      </c>
      <c r="AE12" s="2118">
        <f t="shared" si="4"/>
        <v>0</v>
      </c>
      <c r="AF12" s="2118">
        <f t="shared" si="4"/>
        <v>0</v>
      </c>
      <c r="AG12" s="2118">
        <f t="shared" si="4"/>
        <v>0</v>
      </c>
      <c r="AH12" s="2118">
        <f t="shared" si="4"/>
        <v>0</v>
      </c>
      <c r="AI12" s="2118">
        <f t="shared" si="4"/>
        <v>0</v>
      </c>
      <c r="AJ12" s="2118">
        <f t="shared" si="4"/>
        <v>0</v>
      </c>
    </row>
    <row r="13" spans="1:36" ht="24">
      <c r="A13" s="3612"/>
      <c r="B13" s="1580" t="s">
        <v>2504</v>
      </c>
      <c r="C13" s="2132" t="s">
        <v>2505</v>
      </c>
      <c r="D13" s="1581" t="s">
        <v>2506</v>
      </c>
      <c r="E13" s="1581" t="s">
        <v>2507</v>
      </c>
      <c r="F13" s="264" t="s">
        <v>2508</v>
      </c>
      <c r="G13" s="2133" t="s">
        <v>2509</v>
      </c>
      <c r="H13" s="2133" t="s">
        <v>2509</v>
      </c>
      <c r="I13" s="2133" t="s">
        <v>2509</v>
      </c>
      <c r="J13" s="2134" t="s">
        <v>2509</v>
      </c>
      <c r="K13" s="3020"/>
      <c r="L13" s="3020"/>
      <c r="M13" s="3020"/>
      <c r="N13" s="3020"/>
      <c r="O13" s="3020"/>
      <c r="P13" s="3020"/>
      <c r="Q13" s="3020"/>
      <c r="R13" s="2074">
        <v>12</v>
      </c>
      <c r="S13" s="2085"/>
      <c r="T13" s="2074">
        <f t="shared" si="0"/>
        <v>0</v>
      </c>
      <c r="U13" s="2085"/>
      <c r="V13" s="2074">
        <f t="shared" si="1"/>
        <v>0</v>
      </c>
      <c r="W13" s="3605"/>
      <c r="X13" s="2131"/>
      <c r="Y13" s="2119">
        <f>(-0.163*(Y12^2)-0.59*Y12+7617)*(10^(-4))/Y11</f>
        <v>0.30468000000000001</v>
      </c>
      <c r="Z13" s="2119">
        <f t="shared" ref="Z13:AJ13" si="5">(-0.163*(Z12^2)-0.59*Z12+7617)*(10^(-4))/Z11</f>
        <v>0.30468000000000001</v>
      </c>
      <c r="AA13" s="2119">
        <f t="shared" si="5"/>
        <v>0.30468000000000001</v>
      </c>
      <c r="AB13" s="2119">
        <f t="shared" si="5"/>
        <v>0.30468000000000001</v>
      </c>
      <c r="AC13" s="2119">
        <f t="shared" si="5"/>
        <v>0.30468000000000001</v>
      </c>
      <c r="AD13" s="2119">
        <f t="shared" si="5"/>
        <v>0.30468000000000001</v>
      </c>
      <c r="AE13" s="2119">
        <f t="shared" si="5"/>
        <v>0.30468000000000001</v>
      </c>
      <c r="AF13" s="2119">
        <f t="shared" si="5"/>
        <v>0.30468000000000001</v>
      </c>
      <c r="AG13" s="2119">
        <f t="shared" si="5"/>
        <v>0.30468000000000001</v>
      </c>
      <c r="AH13" s="2119">
        <f t="shared" si="5"/>
        <v>0.30468000000000001</v>
      </c>
      <c r="AI13" s="2119">
        <f t="shared" si="5"/>
        <v>0.30468000000000001</v>
      </c>
      <c r="AJ13" s="2119">
        <f t="shared" si="5"/>
        <v>0.30468000000000001</v>
      </c>
    </row>
    <row r="14" spans="1:36" ht="15">
      <c r="A14" s="3612"/>
      <c r="B14" s="1581"/>
      <c r="C14" s="2135" t="s">
        <v>2510</v>
      </c>
      <c r="D14" s="2136" t="s">
        <v>2511</v>
      </c>
      <c r="E14" s="2136" t="s">
        <v>2511</v>
      </c>
      <c r="F14" s="2137" t="s">
        <v>2512</v>
      </c>
      <c r="G14" s="2138" t="s">
        <v>2513</v>
      </c>
      <c r="H14" s="2139"/>
      <c r="I14" s="2140"/>
      <c r="J14" s="2141"/>
      <c r="K14" s="3020"/>
      <c r="L14" s="3020"/>
      <c r="M14" s="3020"/>
      <c r="N14" s="3020"/>
      <c r="O14" s="3020"/>
      <c r="P14" s="3020"/>
      <c r="Q14" s="3020"/>
      <c r="R14" s="2074">
        <v>13</v>
      </c>
      <c r="S14" s="2085"/>
      <c r="T14" s="2074">
        <f t="shared" si="0"/>
        <v>0</v>
      </c>
      <c r="U14" s="2085"/>
      <c r="V14" s="2074">
        <f t="shared" si="1"/>
        <v>0</v>
      </c>
      <c r="W14" s="2075"/>
      <c r="X14" s="2075"/>
      <c r="Y14" s="2075"/>
      <c r="Z14" s="2075"/>
      <c r="AA14" s="2075"/>
      <c r="AB14" s="2075"/>
      <c r="AC14" s="2075"/>
      <c r="AD14" s="2076"/>
      <c r="AE14" s="2076"/>
      <c r="AF14" s="2076"/>
      <c r="AG14" s="2076"/>
      <c r="AH14" s="2076"/>
      <c r="AI14" s="2076"/>
      <c r="AJ14" s="2077"/>
    </row>
    <row r="15" spans="1:36" ht="15.75" thickBot="1">
      <c r="A15" s="3613"/>
      <c r="B15" s="1582" t="s">
        <v>2514</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0"/>
        <v>0</v>
      </c>
      <c r="U15" s="2085"/>
      <c r="V15" s="2074">
        <f t="shared" si="1"/>
        <v>0</v>
      </c>
      <c r="W15" s="2075"/>
      <c r="X15" s="2075"/>
      <c r="Y15" s="2075"/>
      <c r="Z15" s="2075"/>
      <c r="AA15" s="2075"/>
      <c r="AB15" s="2075"/>
      <c r="AC15" s="2075"/>
      <c r="AD15" s="2076"/>
      <c r="AE15" s="2076"/>
      <c r="AF15" s="2076"/>
      <c r="AG15" s="2076"/>
      <c r="AH15" s="2076"/>
      <c r="AI15" s="2076"/>
      <c r="AJ15" s="2077"/>
    </row>
    <row r="16" spans="1:36" ht="24.6" customHeight="1">
      <c r="A16" s="3589">
        <f>IF(E2="办公",2,IF(E2="工业",2,IF(E2="住宅",3,IF(E2="商业",IF(C8="不临58条商业街",2,3)))))</f>
        <v>2</v>
      </c>
      <c r="B16" s="1601" t="s">
        <v>2520</v>
      </c>
      <c r="C16" s="1577">
        <f>ROUND(IF(F17="与级别开发程度一致",0,(G17-E17)/C17),0)</f>
        <v>0</v>
      </c>
      <c r="D16" s="3602" t="s">
        <v>2524</v>
      </c>
      <c r="E16" s="3603"/>
      <c r="F16" s="3602" t="s">
        <v>2521</v>
      </c>
      <c r="G16" s="3603"/>
      <c r="H16" s="2145" t="s">
        <v>2991</v>
      </c>
      <c r="I16" s="2145" t="s">
        <v>2992</v>
      </c>
      <c r="J16" s="2146" t="s">
        <v>2993</v>
      </c>
      <c r="K16" s="2145" t="s">
        <v>2994</v>
      </c>
      <c r="L16" s="2145" t="s">
        <v>2995</v>
      </c>
      <c r="M16" s="2145" t="s">
        <v>2996</v>
      </c>
      <c r="N16" s="2145" t="s">
        <v>2997</v>
      </c>
      <c r="O16" s="2147"/>
      <c r="P16" s="3020"/>
      <c r="Q16" s="3020"/>
      <c r="R16" s="2074">
        <v>15</v>
      </c>
      <c r="S16" s="2085"/>
      <c r="T16" s="2074">
        <f t="shared" si="0"/>
        <v>0</v>
      </c>
      <c r="U16" s="2085"/>
      <c r="V16" s="2074">
        <f t="shared" si="1"/>
        <v>0</v>
      </c>
      <c r="W16" s="2075"/>
      <c r="X16" s="2075"/>
      <c r="Y16" s="2075"/>
      <c r="Z16" s="2075"/>
      <c r="AA16" s="2075"/>
      <c r="AB16" s="2075"/>
      <c r="AC16" s="2075"/>
      <c r="AD16" s="2076"/>
      <c r="AE16" s="2076"/>
      <c r="AF16" s="2076"/>
      <c r="AG16" s="2076"/>
      <c r="AH16" s="2076"/>
      <c r="AI16" s="2076"/>
      <c r="AJ16" s="2077"/>
    </row>
    <row r="17" spans="1:35" ht="26.25" thickBot="1">
      <c r="A17" s="3590"/>
      <c r="B17" s="1602" t="s">
        <v>2523</v>
      </c>
      <c r="C17" s="2148">
        <f>SUMPRODUCT((修正!A2:A5=E2)*(修正!B1:M1=G2)*(修正!B2:M5))</f>
        <v>2.5</v>
      </c>
      <c r="D17" s="2142" t="str">
        <f>IF(OR(G2="八级",G2="九级",G2="十级",G2="十一级",G2="十二级"),"五通一平","七通一平")</f>
        <v>七通一平</v>
      </c>
      <c r="E17" s="2149">
        <f>SUMPRODUCT((修正!B1:M1=G2)*(修正!B15:M15))</f>
        <v>300</v>
      </c>
      <c r="F17" s="2150" t="s">
        <v>2831</v>
      </c>
      <c r="G17" s="1591">
        <f>SUM(H17:O17)</f>
        <v>260</v>
      </c>
      <c r="H17" s="2148">
        <f>SUMPRODUCT((七通一平=H16)*(修正!B1:M1=G2)*(修正!B6:M14))</f>
        <v>65</v>
      </c>
      <c r="I17" s="2148">
        <f>SUMPRODUCT((七通一平=I16)*(修正!B1:M1=G2)*(修正!B6:M14))</f>
        <v>55</v>
      </c>
      <c r="J17" s="2151">
        <f>SUMPRODUCT((七通一平=J16)*(修正!B1:M1=G2)*(修正!B6:M14))</f>
        <v>15</v>
      </c>
      <c r="K17" s="2148">
        <f>SUMPRODUCT((七通一平=K16)*(修正!B1:M1=G2)*(修正!B6:M14))</f>
        <v>25</v>
      </c>
      <c r="L17" s="2148">
        <f>SUMPRODUCT((七通一平=L16)*(修正!B1:M1=G2)*(修正!B6:M14))</f>
        <v>35</v>
      </c>
      <c r="M17" s="2148">
        <f>SUMPRODUCT((七通一平=M16)*(修正!B1:M1=G2)*(修正!B6:M14))</f>
        <v>50</v>
      </c>
      <c r="N17" s="2148">
        <f>SUMPRODUCT((七通一平=N16)*(修正!B1:M1=G2)*(修正!B6:M14))</f>
        <v>15</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2526</v>
      </c>
      <c r="B18" s="1600" t="s">
        <v>2527</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2528</v>
      </c>
      <c r="B19" s="1583" t="s">
        <v>2529</v>
      </c>
      <c r="C19" s="2159">
        <f>ROUND(IF(H19="按公示增长率计算",SUMPRODUCT((地价!A3:A36=YEAR(G19)&amp;"-"&amp;ROUNDUP(MONTH(G19)/3,0))*(地价!X2:AB2=E2)*(地价!X3:AB36)),IF(H19="地价指数",M20/M19,(1+I19)^O19)),4)</f>
        <v>1.3644000000000001</v>
      </c>
      <c r="D19" s="2160" t="s">
        <v>2530</v>
      </c>
      <c r="E19" s="2161">
        <v>41640</v>
      </c>
      <c r="F19" s="2160" t="s">
        <v>2531</v>
      </c>
      <c r="G19" s="2162">
        <f>'数据-取费表'!B2</f>
        <v>44553</v>
      </c>
      <c r="H19" s="2163" t="s">
        <v>2667</v>
      </c>
      <c r="I19" s="2164" t="str">
        <f>IF(H19="季度增幅（自定义）",SUMIF(N21:N24,E2,O21:O24),"")</f>
        <v/>
      </c>
      <c r="J19" s="2165"/>
      <c r="K19" s="3022"/>
      <c r="L19" s="2046" t="s">
        <v>2532</v>
      </c>
      <c r="M19" s="2166">
        <f>ROUND(SUMIF(地价!B2:F2,E2,地价!B36:F36),0)</f>
        <v>258</v>
      </c>
      <c r="N19" s="2167" t="s">
        <v>2533</v>
      </c>
      <c r="O19" s="2168">
        <f>ROUNDDOWN(DATEDIF(E19,G19,"M")/3,0)</f>
        <v>31</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2534</v>
      </c>
      <c r="B20" s="1584" t="s">
        <v>2535</v>
      </c>
      <c r="C20" s="2171">
        <f>ROUND(POWER(1+G20,J20-I20)*(POWER(1+G20,I20)-1)/(POWER(1+G20,J20)-1),4)</f>
        <v>0.92789999999999995</v>
      </c>
      <c r="D20" s="2172" t="s">
        <v>2536</v>
      </c>
      <c r="E20" s="3125">
        <f>存贷款利率!E18/100</f>
        <v>4.3499999999999997E-2</v>
      </c>
      <c r="F20" s="2172" t="s">
        <v>2525</v>
      </c>
      <c r="G20" s="3126">
        <f>SUMIF(M26:P26,E2,M28:P28)</f>
        <v>5.1999999999999998E-2</v>
      </c>
      <c r="H20" s="2172" t="s">
        <v>2537</v>
      </c>
      <c r="I20" s="2173">
        <f>'数据-取费表'!B13</f>
        <v>38</v>
      </c>
      <c r="J20" s="2174">
        <f>IF(E2="住宅",70,IF(E2="商业",40,50))</f>
        <v>50</v>
      </c>
      <c r="K20" s="3022"/>
      <c r="L20" s="2175" t="s">
        <v>2538</v>
      </c>
      <c r="M20" s="2176">
        <f>ROUND(SUMPRODUCT((地价!A4:A36=YEAR(G19)&amp;"-"&amp;ROUNDUP(MONTH(G19)/3,0))*(地价!B2:F2=E2)*(地价!B4:F36)),0)</f>
        <v>352</v>
      </c>
      <c r="N20" s="2177" t="s">
        <v>2539</v>
      </c>
      <c r="O20" s="2178" t="s">
        <v>2540</v>
      </c>
      <c r="P20" s="2179" t="s">
        <v>2541</v>
      </c>
      <c r="Q20" s="3022"/>
      <c r="R20" s="3020"/>
      <c r="S20" s="3020"/>
      <c r="T20" s="3020"/>
      <c r="U20" s="3020"/>
      <c r="V20" s="3020"/>
      <c r="W20" s="3020"/>
      <c r="X20" s="1593"/>
      <c r="Y20" s="1593"/>
      <c r="Z20" s="1593"/>
      <c r="AA20" s="1593"/>
      <c r="AB20" s="1593"/>
      <c r="AC20" s="1593"/>
      <c r="AD20" s="1593"/>
      <c r="AE20" s="2158"/>
      <c r="AF20" s="2158"/>
    </row>
    <row r="21" spans="1:35" s="2095" customFormat="1" ht="14.25">
      <c r="A21" s="2180" t="s">
        <v>2542</v>
      </c>
      <c r="B21" s="1585" t="s">
        <v>2543</v>
      </c>
      <c r="C21" s="2181">
        <f>IF(B21="容积率修正",IF(G3&lt;=10,D22,J22),C23)</f>
        <v>1</v>
      </c>
      <c r="D21" s="2182"/>
      <c r="E21" s="2182"/>
      <c r="F21" s="2182"/>
      <c r="G21" s="2182"/>
      <c r="H21" s="2182"/>
      <c r="I21" s="2182"/>
      <c r="J21" s="2047"/>
      <c r="K21" s="3022"/>
      <c r="L21" s="3022"/>
      <c r="M21" s="3022"/>
      <c r="N21" s="2183" t="s">
        <v>2544</v>
      </c>
      <c r="O21" s="2184"/>
      <c r="P21" s="2185">
        <f>SUMPRODUCT((地价!A3:A36=YEAR(G19)&amp;"-"&amp;ROUNDUP(MONTH(G19)/3,0))*(地价!AD2:AH2=N21)*(地价!AD3:AH36))</f>
        <v>1.0500000000000001E-2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2545</v>
      </c>
      <c r="C22" s="2042" t="s">
        <v>2546</v>
      </c>
      <c r="D22" s="2042">
        <f>IF(E22=G22,F22,IF(G3&lt;=10,ROUND(F22+(H22-F22)*(G3-E22)/(G22-E22),4),"——"))</f>
        <v>1</v>
      </c>
      <c r="E22" s="2086">
        <f>ROUNDDOWN(G3,1)</f>
        <v>2.5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086">
        <f>ROUNDUP(G3,1)</f>
        <v>2.5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42" t="s">
        <v>104</v>
      </c>
      <c r="J22" s="2186" t="str">
        <f>IF(G3&gt;10,D113,"——")</f>
        <v>——</v>
      </c>
      <c r="K22" s="3022"/>
      <c r="L22" s="3022"/>
      <c r="M22" s="3022"/>
      <c r="N22" s="2183" t="s">
        <v>2547</v>
      </c>
      <c r="O22" s="2184"/>
      <c r="P22" s="2185">
        <f>SUMPRODUCT((地价!A3:A36=YEAR(G19)&amp;"-"&amp;ROUNDUP(MONTH(G19)/3,0))*(地价!AD2:AH2=N22)*(地价!AD3:AH36))</f>
        <v>1.0500000000000001E-2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2548</v>
      </c>
      <c r="C23" s="2187">
        <f>ROUND(IF(G3&gt;1,IF(I3&lt;7,SUMPRODUCT((B93:B98=I3)*(C92:N92=G2)*(C93:N98)),SUMIF(C92:N92,G2,C100:N100)),IF(I3&lt;7,SUMPRODUCT((B102:B107=I3)*(C92:N92=G2)*(C102:N107)),SUMIF(C92:N92,G2,C109:N109))),4)</f>
        <v>0</v>
      </c>
      <c r="D23" s="2139"/>
      <c r="E23" s="2139"/>
      <c r="F23" s="2188"/>
      <c r="G23" s="2189"/>
      <c r="H23" s="1590"/>
      <c r="I23" s="2042"/>
      <c r="J23" s="2186"/>
      <c r="K23" s="3020"/>
      <c r="L23" s="3020"/>
      <c r="M23" s="3020"/>
      <c r="N23" s="2183" t="s">
        <v>2549</v>
      </c>
      <c r="O23" s="2184"/>
      <c r="P23" s="2185">
        <f>SUMPRODUCT((地价!A3:A36=YEAR(G19)&amp;"-"&amp;ROUNDUP(MONTH(G19)/3,0))*(地价!AD2:AH2=N23)*(地价!AD3:AH36))</f>
        <v>1.83E-2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2550</v>
      </c>
      <c r="B24" s="1587" t="s">
        <v>2551</v>
      </c>
      <c r="C24" s="2191">
        <f>SUMIF(A46:A88,E2,B46:B88)</f>
        <v>1.0558000000000001</v>
      </c>
      <c r="D24" s="2192"/>
      <c r="E24" s="2193"/>
      <c r="F24" s="2193"/>
      <c r="G24" s="2193"/>
      <c r="H24" s="2193"/>
      <c r="I24" s="2193"/>
      <c r="J24" s="2194"/>
      <c r="K24" s="3022"/>
      <c r="L24" s="3022"/>
      <c r="M24" s="3022"/>
      <c r="N24" s="2195" t="s">
        <v>2552</v>
      </c>
      <c r="O24" s="2196"/>
      <c r="P24" s="2197">
        <f>SUMPRODUCT((地价!A3:A36=YEAR(G19)&amp;"-"&amp;ROUNDUP(MONTH(G19)/3,0))*(地价!AD2:AH2=N24)*(地价!AD3:AH36))</f>
        <v>1.2200000000000001E-2</v>
      </c>
      <c r="Q24" s="3022"/>
      <c r="R24" s="3020"/>
      <c r="S24" s="3020"/>
      <c r="T24" s="3020"/>
      <c r="U24" s="3020"/>
      <c r="V24" s="3020"/>
      <c r="W24" s="3020"/>
      <c r="X24" s="1593"/>
      <c r="Y24" s="1593"/>
      <c r="Z24" s="1593"/>
      <c r="AA24" s="1593"/>
      <c r="AB24" s="1593"/>
      <c r="AC24" s="1593"/>
      <c r="AD24" s="1593"/>
      <c r="AE24" s="2158"/>
      <c r="AF24" s="2158"/>
    </row>
    <row r="25" spans="1:35" ht="15" thickBot="1">
      <c r="A25" s="1688" t="s">
        <v>2553</v>
      </c>
      <c r="B25" s="1588" t="s">
        <v>2554</v>
      </c>
      <c r="C25" s="2198"/>
      <c r="D25" s="2104"/>
      <c r="E25" s="2104"/>
      <c r="F25" s="2199"/>
      <c r="G25" s="2104"/>
      <c r="H25" s="2104"/>
      <c r="I25" s="2104"/>
      <c r="J25" s="2105"/>
      <c r="K25" s="3020"/>
      <c r="L25" s="3020"/>
      <c r="M25" s="3020"/>
      <c r="N25" s="3023" t="s">
        <v>2555</v>
      </c>
      <c r="O25" s="3024"/>
      <c r="P25" s="3025">
        <f>SUMPRODUCT((地价!A3:A36=YEAR(G19)&amp;"-"&amp;ROUNDUP(MONTH(G19)/3,0))*(地价!AD2:AH2=N25)*(地价!AD3:AH36))</f>
        <v>1.66E-2</v>
      </c>
      <c r="Q25" s="3020"/>
      <c r="R25" s="3020"/>
      <c r="S25" s="3020"/>
      <c r="T25" s="3020"/>
      <c r="U25" s="3020"/>
      <c r="V25" s="3020"/>
      <c r="W25" s="3020"/>
      <c r="X25" s="1593"/>
      <c r="Y25" s="1593"/>
      <c r="Z25" s="1593"/>
      <c r="AA25" s="1593"/>
      <c r="AB25" s="1593"/>
      <c r="AC25" s="1593"/>
      <c r="AD25" s="1593"/>
      <c r="AE25" s="1593"/>
      <c r="AF25" s="1593"/>
    </row>
    <row r="26" spans="1:35" ht="15">
      <c r="A26" s="1673"/>
      <c r="B26" s="2042" t="s">
        <v>2556</v>
      </c>
      <c r="C26" s="2860">
        <f>IF(B21="容积率修正",E29+SUM(E33:E39),SUM(V2:V16)+SUM(E33:E39))</f>
        <v>771372</v>
      </c>
      <c r="D26" s="2200"/>
      <c r="E26" s="2139"/>
      <c r="F26" s="1448"/>
      <c r="G26" s="2139"/>
      <c r="H26" s="2139"/>
      <c r="I26" s="2139"/>
      <c r="J26" s="2201"/>
      <c r="K26" s="3020"/>
      <c r="L26" s="3026" t="s">
        <v>2515</v>
      </c>
      <c r="M26" s="2102" t="s">
        <v>2516</v>
      </c>
      <c r="N26" s="2102" t="s">
        <v>2517</v>
      </c>
      <c r="O26" s="2102" t="s">
        <v>2518</v>
      </c>
      <c r="P26" s="3027" t="s">
        <v>2519</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2557</v>
      </c>
      <c r="C27" s="2202">
        <f>E30+SUM(I33:I39)</f>
        <v>0</v>
      </c>
      <c r="D27" s="2151"/>
      <c r="E27" s="2203"/>
      <c r="F27" s="2204"/>
      <c r="G27" s="2203"/>
      <c r="H27" s="2203"/>
      <c r="I27" s="2203"/>
      <c r="J27" s="2205"/>
      <c r="K27" s="3020"/>
      <c r="L27" s="2206" t="s">
        <v>2522</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2558</v>
      </c>
      <c r="C28" s="2209" t="s">
        <v>2559</v>
      </c>
      <c r="D28" s="2209" t="s">
        <v>2560</v>
      </c>
      <c r="E28" s="1588" t="s">
        <v>2561</v>
      </c>
      <c r="F28" s="2210"/>
      <c r="G28" s="2126"/>
      <c r="H28" s="2126"/>
      <c r="I28" s="2126"/>
      <c r="J28" s="2127"/>
      <c r="K28" s="3020"/>
      <c r="L28" s="2211" t="s">
        <v>2525</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2562</v>
      </c>
      <c r="C29" s="54">
        <f>ROUND(C5*C18*C19*C20*C21*C24,0)</f>
        <v>12244</v>
      </c>
      <c r="D29" s="2214">
        <f>'数据-取费表'!E5</f>
        <v>63</v>
      </c>
      <c r="E29" s="2001">
        <f>ROUND(C29*D29,0)</f>
        <v>771372</v>
      </c>
      <c r="F29" s="2215" t="s">
        <v>2563</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2564</v>
      </c>
      <c r="C30" s="2142">
        <f>ROUND(IF(E2="工业",C29*M39,C29*M38),0)</f>
        <v>3061</v>
      </c>
      <c r="D30" s="2219"/>
      <c r="E30" s="2001">
        <f>ROUND(C30*D30,0)</f>
        <v>0</v>
      </c>
      <c r="F30" s="2220" t="s">
        <v>2565</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2566</v>
      </c>
      <c r="C31" s="2224" t="s">
        <v>2567</v>
      </c>
      <c r="D31" s="2126"/>
      <c r="E31" s="2224"/>
      <c r="F31" s="2224"/>
      <c r="G31" s="2125" t="s">
        <v>2568</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2559</v>
      </c>
      <c r="D32" s="1778" t="s">
        <v>2560</v>
      </c>
      <c r="E32" s="1778" t="s">
        <v>2561</v>
      </c>
      <c r="F32" s="50" t="s">
        <v>2569</v>
      </c>
      <c r="G32" s="2187" t="s">
        <v>2559</v>
      </c>
      <c r="H32" s="2187" t="s">
        <v>2560</v>
      </c>
      <c r="I32" s="2187" t="s">
        <v>2561</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599" t="s">
        <v>2570</v>
      </c>
      <c r="B33" s="2227" t="s">
        <v>2571</v>
      </c>
      <c r="C33" s="54">
        <f>ROUND(D5*C19*C20*C24*F33,0)</f>
        <v>8571</v>
      </c>
      <c r="D33" s="2214"/>
      <c r="E33" s="50">
        <f t="shared" ref="E33:E39" si="6">ROUND(C33*D33,0)</f>
        <v>0</v>
      </c>
      <c r="F33" s="50">
        <f>SUMIF(修正!A45:A56,G2,修正!B45:B56)</f>
        <v>0.7</v>
      </c>
      <c r="G33" s="50">
        <f t="shared" ref="G33" si="7">ROUND(IF(E2="工业",C33*$M$39,C33*$M$38),0)</f>
        <v>2143</v>
      </c>
      <c r="H33" s="50">
        <f>D33</f>
        <v>0</v>
      </c>
      <c r="I33" s="50">
        <f t="shared" ref="I33:I39" si="8">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600"/>
      <c r="B34" s="2132" t="s">
        <v>2572</v>
      </c>
      <c r="C34" s="54">
        <f>ROUND(D5*C19*C20*C24*F34,0)</f>
        <v>4898</v>
      </c>
      <c r="D34" s="2214"/>
      <c r="E34" s="50">
        <f t="shared" si="6"/>
        <v>0</v>
      </c>
      <c r="F34" s="50">
        <f>SUMIF(修正!A45:A56,G2,修正!C45:C56)</f>
        <v>0.4</v>
      </c>
      <c r="G34" s="50">
        <f>ROUND(IF(E2="工业",C34*$M$39,C34*$M$38),0)</f>
        <v>1225</v>
      </c>
      <c r="H34" s="50">
        <f t="shared" ref="H34:H39" si="9">D34</f>
        <v>0</v>
      </c>
      <c r="I34" s="50">
        <f t="shared" si="8"/>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600"/>
      <c r="B35" s="2132" t="s">
        <v>2573</v>
      </c>
      <c r="C35" s="54">
        <f>ROUND(D5*C19*C20*C24*F35,0)</f>
        <v>3428</v>
      </c>
      <c r="D35" s="2214"/>
      <c r="E35" s="50">
        <f t="shared" si="6"/>
        <v>0</v>
      </c>
      <c r="F35" s="50">
        <f>SUMIF(修正!A45:A56,G2,修正!D45:D56)</f>
        <v>0.28000000000000003</v>
      </c>
      <c r="G35" s="50">
        <f>ROUND(IF(E2="工业",C35*$M$39,C35*$M$38),0)</f>
        <v>857</v>
      </c>
      <c r="H35" s="50">
        <f t="shared" si="9"/>
        <v>0</v>
      </c>
      <c r="I35" s="50">
        <f t="shared" si="8"/>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601"/>
      <c r="B36" s="2132" t="s">
        <v>2574</v>
      </c>
      <c r="C36" s="54">
        <f>ROUND(D5*C19*C20*C24*F36,0)</f>
        <v>3061</v>
      </c>
      <c r="D36" s="2214"/>
      <c r="E36" s="50">
        <f t="shared" si="6"/>
        <v>0</v>
      </c>
      <c r="F36" s="50">
        <f>SUMIF(修正!A45:A56,G2,修正!E45:E56)</f>
        <v>0.25</v>
      </c>
      <c r="G36" s="50">
        <f>ROUND(IF(E2="工业",C36*$M$39,C36*$M$38),0)</f>
        <v>765</v>
      </c>
      <c r="H36" s="50">
        <f t="shared" si="9"/>
        <v>0</v>
      </c>
      <c r="I36" s="50">
        <f t="shared" si="8"/>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2575</v>
      </c>
      <c r="C37" s="50">
        <f>ROUND(D5*C19*C20*C24*F37,0)</f>
        <v>3061</v>
      </c>
      <c r="D37" s="2214"/>
      <c r="E37" s="50">
        <f t="shared" si="6"/>
        <v>0</v>
      </c>
      <c r="F37" s="54">
        <f>SUMIF(修正!A45:A56,G2,修正!F45:F56)</f>
        <v>0.25</v>
      </c>
      <c r="G37" s="50">
        <f>ROUND(IF(E2="工业",C37*$M$39,C37*$M$38),0)</f>
        <v>765</v>
      </c>
      <c r="H37" s="50">
        <f t="shared" si="9"/>
        <v>0</v>
      </c>
      <c r="I37" s="50">
        <f t="shared" si="8"/>
        <v>0</v>
      </c>
      <c r="J37" s="2201"/>
      <c r="K37" s="3020"/>
      <c r="L37" s="2229" t="s">
        <v>2576</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2577</v>
      </c>
      <c r="C38" s="50">
        <f>ROUND(D5*C19*C41*C24*F38,0)</f>
        <v>0</v>
      </c>
      <c r="D38" s="2214"/>
      <c r="E38" s="50">
        <f t="shared" si="6"/>
        <v>0</v>
      </c>
      <c r="F38" s="54">
        <f>SUMIF(修正!A45:A56,G2,修正!G45:G56)</f>
        <v>0.25</v>
      </c>
      <c r="G38" s="50">
        <f>ROUND(IF(E2="工业",C38*$M$39,C38*$M$38),0)</f>
        <v>0</v>
      </c>
      <c r="H38" s="50">
        <f t="shared" si="9"/>
        <v>0</v>
      </c>
      <c r="I38" s="50">
        <f t="shared" si="8"/>
        <v>0</v>
      </c>
      <c r="J38" s="2201"/>
      <c r="K38" s="3020"/>
      <c r="L38" s="2230" t="s">
        <v>2578</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2579</v>
      </c>
      <c r="C39" s="2142">
        <f>ROUND(D5*C19*C41*C24*F39,0)</f>
        <v>0</v>
      </c>
      <c r="D39" s="2219"/>
      <c r="E39" s="2142">
        <f t="shared" si="6"/>
        <v>0</v>
      </c>
      <c r="F39" s="56">
        <f>SUMIF(修正!A45:A56,G2,修正!H45:H56)</f>
        <v>0.2</v>
      </c>
      <c r="G39" s="2142">
        <f>ROUND(IF(E2="工业",C39*$M$39,C39*$M$38),0)</f>
        <v>0</v>
      </c>
      <c r="H39" s="2142">
        <f t="shared" si="9"/>
        <v>0</v>
      </c>
      <c r="I39" s="2142">
        <f t="shared" si="8"/>
        <v>0</v>
      </c>
      <c r="J39" s="2205"/>
      <c r="K39" s="3020"/>
      <c r="L39" s="2233" t="s">
        <v>2519</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2659</v>
      </c>
      <c r="C41" s="50">
        <f>ROUND(POWER(1+E41,H41-G41)*(POWER(1+E41,G41)-1)/(POWER(1+E41,H41)-1),4)</f>
        <v>0</v>
      </c>
      <c r="D41" s="50" t="s">
        <v>2657</v>
      </c>
      <c r="E41" s="2237">
        <f>G20</f>
        <v>5.1999999999999998E-2</v>
      </c>
      <c r="F41" s="50" t="s">
        <v>2658</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2580</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2581</v>
      </c>
      <c r="B46" s="2242">
        <f>1+E48</f>
        <v>1</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2582</v>
      </c>
      <c r="B47" s="2249" t="s">
        <v>2583</v>
      </c>
      <c r="C47" s="2249" t="s">
        <v>2584</v>
      </c>
      <c r="D47" s="2249" t="s">
        <v>2585</v>
      </c>
      <c r="E47" s="2250" t="s">
        <v>2586</v>
      </c>
      <c r="F47" s="2200" t="s">
        <v>2587</v>
      </c>
      <c r="G47" s="2249" t="s">
        <v>2588</v>
      </c>
      <c r="H47" s="2251" t="s">
        <v>2589</v>
      </c>
      <c r="I47" s="2249" t="s">
        <v>2590</v>
      </c>
      <c r="J47" s="1876" t="s">
        <v>2591</v>
      </c>
      <c r="K47" s="1876" t="s">
        <v>2592</v>
      </c>
      <c r="L47" s="1876" t="s">
        <v>2593</v>
      </c>
      <c r="M47" s="1876" t="s">
        <v>2594</v>
      </c>
      <c r="N47" s="1876" t="s">
        <v>2595</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c r="A48" s="2248" t="s">
        <v>2596</v>
      </c>
      <c r="B48" s="2252" t="str">
        <f>估价对象房地状况!C16</f>
        <v>估价对象位于XX商圈，周边商业氛围成熟，人流量大，商业繁华度好</v>
      </c>
      <c r="C48" s="2136"/>
      <c r="D48" s="2253">
        <f t="shared" ref="D48:D56" si="10">SUMIF($J$47:$N$47,C48,J48:N48)</f>
        <v>0</v>
      </c>
      <c r="E48" s="2254">
        <f>ROUND(SUM(D48:D56),4)</f>
        <v>0</v>
      </c>
      <c r="F48" s="2255" t="str">
        <f>IF(E2="商业",SUMIF(L1:L12,G2,N1:N12),"——")</f>
        <v>——</v>
      </c>
      <c r="G48" s="2256"/>
      <c r="H48" s="2257" t="str">
        <f t="shared" ref="H48:H56" si="11">IFERROR(ROUNDDOWN($F$48*I48/2,4),"——")</f>
        <v>——</v>
      </c>
      <c r="I48" s="2258">
        <v>0.33</v>
      </c>
      <c r="J48" s="2259">
        <f t="shared" ref="J48:J56" si="12">K48+$G48</f>
        <v>0</v>
      </c>
      <c r="K48" s="2259">
        <f t="shared" ref="K48:K56" si="13">$L48+$G48</f>
        <v>0</v>
      </c>
      <c r="L48" s="2259">
        <v>0</v>
      </c>
      <c r="M48" s="2259">
        <f t="shared" ref="M48:N56" si="14">L48-$G48</f>
        <v>0</v>
      </c>
      <c r="N48" s="2259">
        <f t="shared" si="14"/>
        <v>0</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c r="A49" s="2248" t="s">
        <v>2597</v>
      </c>
      <c r="B49" s="2260" t="str">
        <f>估价对象房地状况!C18</f>
        <v>估价对象周边道路状况、公共交通通达情况、停车便捷程度，综合评价交通便捷度较好</v>
      </c>
      <c r="C49" s="2136"/>
      <c r="D49" s="2253">
        <f t="shared" si="10"/>
        <v>0</v>
      </c>
      <c r="E49" s="2261"/>
      <c r="F49" s="2255"/>
      <c r="G49" s="2256"/>
      <c r="H49" s="2257" t="str">
        <f t="shared" si="11"/>
        <v>——</v>
      </c>
      <c r="I49" s="2258">
        <v>0.25</v>
      </c>
      <c r="J49" s="2259">
        <f t="shared" si="12"/>
        <v>0</v>
      </c>
      <c r="K49" s="2259">
        <f t="shared" si="13"/>
        <v>0</v>
      </c>
      <c r="L49" s="2259">
        <v>0</v>
      </c>
      <c r="M49" s="2259">
        <f t="shared" si="14"/>
        <v>0</v>
      </c>
      <c r="N49" s="2259">
        <f t="shared" si="14"/>
        <v>0</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2598</v>
      </c>
      <c r="B50" s="2260">
        <f>估价对象房地状况!C19</f>
        <v>0</v>
      </c>
      <c r="C50" s="2136"/>
      <c r="D50" s="2253">
        <f t="shared" si="10"/>
        <v>0</v>
      </c>
      <c r="E50" s="2261"/>
      <c r="F50" s="2255"/>
      <c r="G50" s="2256"/>
      <c r="H50" s="2257" t="str">
        <f t="shared" si="11"/>
        <v>——</v>
      </c>
      <c r="I50" s="2258">
        <v>0.05</v>
      </c>
      <c r="J50" s="2259">
        <f t="shared" si="12"/>
        <v>0</v>
      </c>
      <c r="K50" s="2259">
        <f t="shared" si="13"/>
        <v>0</v>
      </c>
      <c r="L50" s="2259">
        <v>0</v>
      </c>
      <c r="M50" s="2259">
        <f t="shared" si="14"/>
        <v>0</v>
      </c>
      <c r="N50" s="2259">
        <f t="shared" si="14"/>
        <v>0</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2599</v>
      </c>
      <c r="B51" s="2262" t="s">
        <v>2600</v>
      </c>
      <c r="C51" s="2136"/>
      <c r="D51" s="2253">
        <f t="shared" si="10"/>
        <v>0</v>
      </c>
      <c r="E51" s="2261"/>
      <c r="F51" s="2255"/>
      <c r="G51" s="2256"/>
      <c r="H51" s="2257" t="str">
        <f t="shared" si="11"/>
        <v>——</v>
      </c>
      <c r="I51" s="2258">
        <v>0.05</v>
      </c>
      <c r="J51" s="2259">
        <f t="shared" si="12"/>
        <v>0</v>
      </c>
      <c r="K51" s="2259">
        <f t="shared" si="13"/>
        <v>0</v>
      </c>
      <c r="L51" s="2259">
        <v>0</v>
      </c>
      <c r="M51" s="2259">
        <f t="shared" si="14"/>
        <v>0</v>
      </c>
      <c r="N51" s="2259">
        <f t="shared" si="14"/>
        <v>0</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2601</v>
      </c>
      <c r="B52" s="2260">
        <f>估价对象房地状况!C24</f>
        <v>0</v>
      </c>
      <c r="C52" s="2136"/>
      <c r="D52" s="2253">
        <f t="shared" si="10"/>
        <v>0</v>
      </c>
      <c r="E52" s="2261"/>
      <c r="F52" s="2255"/>
      <c r="G52" s="2256"/>
      <c r="H52" s="2257" t="str">
        <f t="shared" si="11"/>
        <v>——</v>
      </c>
      <c r="I52" s="2258">
        <v>0.08</v>
      </c>
      <c r="J52" s="2259">
        <f t="shared" si="12"/>
        <v>0</v>
      </c>
      <c r="K52" s="2259">
        <f t="shared" si="13"/>
        <v>0</v>
      </c>
      <c r="L52" s="2259">
        <v>0</v>
      </c>
      <c r="M52" s="2259">
        <f t="shared" si="14"/>
        <v>0</v>
      </c>
      <c r="N52" s="2259">
        <f t="shared" si="14"/>
        <v>0</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2602</v>
      </c>
      <c r="B53" s="2263" t="s">
        <v>2603</v>
      </c>
      <c r="C53" s="2136"/>
      <c r="D53" s="2253">
        <f t="shared" si="10"/>
        <v>0</v>
      </c>
      <c r="E53" s="2261"/>
      <c r="F53" s="2255"/>
      <c r="G53" s="2256"/>
      <c r="H53" s="2257" t="str">
        <f t="shared" si="11"/>
        <v>——</v>
      </c>
      <c r="I53" s="2258">
        <v>0.03</v>
      </c>
      <c r="J53" s="2259">
        <f t="shared" si="12"/>
        <v>0</v>
      </c>
      <c r="K53" s="2259">
        <f t="shared" si="13"/>
        <v>0</v>
      </c>
      <c r="L53" s="2259">
        <v>0</v>
      </c>
      <c r="M53" s="2259">
        <f t="shared" si="14"/>
        <v>0</v>
      </c>
      <c r="N53" s="2259">
        <f t="shared" si="14"/>
        <v>0</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c r="A54" s="2264" t="s">
        <v>2604</v>
      </c>
      <c r="B54" s="2265" t="str">
        <f>估价对象房地状况!C21</f>
        <v>估价对象所在区域公共配套设施齐备情况</v>
      </c>
      <c r="C54" s="2136"/>
      <c r="D54" s="2253">
        <f t="shared" si="10"/>
        <v>0</v>
      </c>
      <c r="E54" s="2261"/>
      <c r="F54" s="2255"/>
      <c r="G54" s="2256"/>
      <c r="H54" s="2257" t="str">
        <f t="shared" si="11"/>
        <v>——</v>
      </c>
      <c r="I54" s="2258">
        <v>0.05</v>
      </c>
      <c r="J54" s="2259">
        <f t="shared" si="12"/>
        <v>0</v>
      </c>
      <c r="K54" s="2259">
        <f t="shared" si="13"/>
        <v>0</v>
      </c>
      <c r="L54" s="2259">
        <v>0</v>
      </c>
      <c r="M54" s="2259">
        <f t="shared" si="14"/>
        <v>0</v>
      </c>
      <c r="N54" s="2259">
        <f t="shared" si="14"/>
        <v>0</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c r="A55" s="2264" t="s">
        <v>2605</v>
      </c>
      <c r="B55" s="2260" t="str">
        <f>估价对象房地状况!C22</f>
        <v>估价对象所在区域基础设施水平</v>
      </c>
      <c r="C55" s="2136"/>
      <c r="D55" s="2253">
        <f t="shared" si="10"/>
        <v>0</v>
      </c>
      <c r="E55" s="2261"/>
      <c r="F55" s="2255"/>
      <c r="G55" s="2256"/>
      <c r="H55" s="2257" t="str">
        <f t="shared" si="11"/>
        <v>——</v>
      </c>
      <c r="I55" s="2258">
        <v>0.1</v>
      </c>
      <c r="J55" s="2259">
        <f t="shared" si="12"/>
        <v>0</v>
      </c>
      <c r="K55" s="2259">
        <f t="shared" si="13"/>
        <v>0</v>
      </c>
      <c r="L55" s="2259">
        <v>0</v>
      </c>
      <c r="M55" s="2259">
        <f t="shared" si="14"/>
        <v>0</v>
      </c>
      <c r="N55" s="2259">
        <f t="shared" si="14"/>
        <v>0</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thickBot="1">
      <c r="A56" s="2266" t="s">
        <v>2606</v>
      </c>
      <c r="B56" s="2267" t="str">
        <f>估价对象房地状况!C20</f>
        <v>区域自然环境：；人文环境；综合评价环境状况一般</v>
      </c>
      <c r="C56" s="2136"/>
      <c r="D56" s="2253">
        <f t="shared" si="10"/>
        <v>0</v>
      </c>
      <c r="E56" s="2268"/>
      <c r="F56" s="2255"/>
      <c r="G56" s="2256"/>
      <c r="H56" s="2257" t="str">
        <f t="shared" si="11"/>
        <v>——</v>
      </c>
      <c r="I56" s="2269">
        <v>0.06</v>
      </c>
      <c r="J56" s="2259">
        <f t="shared" si="12"/>
        <v>0</v>
      </c>
      <c r="K56" s="2259">
        <f t="shared" si="13"/>
        <v>0</v>
      </c>
      <c r="L56" s="2259">
        <v>0</v>
      </c>
      <c r="M56" s="2259">
        <f t="shared" si="14"/>
        <v>0</v>
      </c>
      <c r="N56" s="2259">
        <f t="shared" si="14"/>
        <v>0</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2607</v>
      </c>
      <c r="B57" s="2270">
        <f>1+E59</f>
        <v>1.0558000000000001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2582</v>
      </c>
      <c r="B58" s="2260"/>
      <c r="C58" s="2249" t="s">
        <v>2584</v>
      </c>
      <c r="D58" s="2249" t="s">
        <v>2585</v>
      </c>
      <c r="E58" s="2250" t="s">
        <v>2586</v>
      </c>
      <c r="F58" s="2200" t="s">
        <v>2587</v>
      </c>
      <c r="G58" s="2249" t="s">
        <v>2608</v>
      </c>
      <c r="H58" s="2251" t="s">
        <v>2609</v>
      </c>
      <c r="I58" s="2249" t="s">
        <v>2610</v>
      </c>
      <c r="J58" s="1876" t="s">
        <v>2250</v>
      </c>
      <c r="K58" s="1876" t="s">
        <v>2251</v>
      </c>
      <c r="L58" s="1876" t="s">
        <v>2252</v>
      </c>
      <c r="M58" s="1876" t="s">
        <v>2253</v>
      </c>
      <c r="N58" s="1876" t="s">
        <v>2254</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2611</v>
      </c>
      <c r="B59" s="2252" t="str">
        <f>估价对象房地状况!C17</f>
        <v>估价对象位于XX商圈，周边办公楼项目较多，入驻率高，办公集聚程度较好</v>
      </c>
      <c r="C59" s="2136" t="s">
        <v>30</v>
      </c>
      <c r="D59" s="2253">
        <f t="shared" ref="D59:D67" si="15">SUMIF($J$58:$N$58,C59,J59:N59)</f>
        <v>1.44E-2</v>
      </c>
      <c r="E59" s="2254">
        <f>ROUND(SUM(D59:D67),4)</f>
        <v>5.5800000000000002E-2</v>
      </c>
      <c r="F59" s="2255">
        <f>IF(E2="办公",SUMIF(L1:L12,G2,N1:N12),"——")</f>
        <v>0.12</v>
      </c>
      <c r="G59" s="2256">
        <f>H59</f>
        <v>1.44E-2</v>
      </c>
      <c r="H59" s="2257">
        <f t="shared" ref="H59:H67" si="16">IFERROR(ROUNDDOWN($F$59*I59/2,4),"——")</f>
        <v>1.44E-2</v>
      </c>
      <c r="I59" s="2258">
        <v>0.24</v>
      </c>
      <c r="J59" s="2259">
        <f t="shared" ref="J59:J67" si="17">K59+$G59</f>
        <v>2.8799999999999999E-2</v>
      </c>
      <c r="K59" s="2259">
        <f t="shared" ref="K59:K67" si="18">$L59+$G59</f>
        <v>1.44E-2</v>
      </c>
      <c r="L59" s="2259">
        <v>0</v>
      </c>
      <c r="M59" s="2259">
        <f t="shared" ref="M59:N67" si="19">L59-$G59</f>
        <v>-1.44E-2</v>
      </c>
      <c r="N59" s="2259">
        <f t="shared" si="19"/>
        <v>-2.8799999999999999E-2</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2597</v>
      </c>
      <c r="B60" s="2260" t="str">
        <f>估价对象房地状况!C18</f>
        <v>估价对象周边道路状况、公共交通通达情况、停车便捷程度，综合评价交通便捷度较好</v>
      </c>
      <c r="C60" s="2136" t="s">
        <v>30</v>
      </c>
      <c r="D60" s="2253">
        <f t="shared" si="15"/>
        <v>1.7999999999999999E-2</v>
      </c>
      <c r="E60" s="2261"/>
      <c r="F60" s="2255"/>
      <c r="G60" s="2256">
        <f t="shared" ref="G60:G67" si="20">H60</f>
        <v>1.7999999999999999E-2</v>
      </c>
      <c r="H60" s="2257">
        <f t="shared" si="16"/>
        <v>1.7999999999999999E-2</v>
      </c>
      <c r="I60" s="2258">
        <v>0.3</v>
      </c>
      <c r="J60" s="2259">
        <f t="shared" si="17"/>
        <v>3.5999999999999997E-2</v>
      </c>
      <c r="K60" s="2259">
        <f t="shared" si="18"/>
        <v>1.7999999999999999E-2</v>
      </c>
      <c r="L60" s="2259">
        <v>0</v>
      </c>
      <c r="M60" s="2259">
        <f t="shared" si="19"/>
        <v>-1.7999999999999999E-2</v>
      </c>
      <c r="N60" s="2259">
        <f t="shared" si="19"/>
        <v>-3.5999999999999997E-2</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2598</v>
      </c>
      <c r="B61" s="2260">
        <f>估价对象房地状况!C19</f>
        <v>0</v>
      </c>
      <c r="C61" s="2136" t="s">
        <v>31</v>
      </c>
      <c r="D61" s="2253">
        <f t="shared" si="15"/>
        <v>0</v>
      </c>
      <c r="E61" s="2261"/>
      <c r="F61" s="2255"/>
      <c r="G61" s="2256">
        <f t="shared" si="20"/>
        <v>4.7999999999999996E-3</v>
      </c>
      <c r="H61" s="2257">
        <f t="shared" si="16"/>
        <v>4.7999999999999996E-3</v>
      </c>
      <c r="I61" s="2258">
        <v>0.08</v>
      </c>
      <c r="J61" s="2259">
        <f t="shared" si="17"/>
        <v>9.5999999999999992E-3</v>
      </c>
      <c r="K61" s="2259">
        <f t="shared" si="18"/>
        <v>4.7999999999999996E-3</v>
      </c>
      <c r="L61" s="2259">
        <v>0</v>
      </c>
      <c r="M61" s="2259">
        <f t="shared" si="19"/>
        <v>-4.7999999999999996E-3</v>
      </c>
      <c r="N61" s="2259">
        <f t="shared" si="19"/>
        <v>-9.5999999999999992E-3</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2599</v>
      </c>
      <c r="B62" s="2262" t="s">
        <v>2600</v>
      </c>
      <c r="C62" s="2136" t="s">
        <v>30</v>
      </c>
      <c r="D62" s="2253">
        <f t="shared" si="15"/>
        <v>2.3999999999999998E-3</v>
      </c>
      <c r="E62" s="2261"/>
      <c r="F62" s="2255"/>
      <c r="G62" s="2256">
        <f t="shared" si="20"/>
        <v>2.3999999999999998E-3</v>
      </c>
      <c r="H62" s="2257">
        <f t="shared" si="16"/>
        <v>2.3999999999999998E-3</v>
      </c>
      <c r="I62" s="2258">
        <v>0.04</v>
      </c>
      <c r="J62" s="2259">
        <f t="shared" si="17"/>
        <v>4.7999999999999996E-3</v>
      </c>
      <c r="K62" s="2259">
        <f t="shared" si="18"/>
        <v>2.3999999999999998E-3</v>
      </c>
      <c r="L62" s="2259">
        <v>0</v>
      </c>
      <c r="M62" s="2259">
        <f t="shared" si="19"/>
        <v>-2.3999999999999998E-3</v>
      </c>
      <c r="N62" s="2259">
        <f t="shared" si="19"/>
        <v>-4.7999999999999996E-3</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2601</v>
      </c>
      <c r="B63" s="2260">
        <f>估价对象房地状况!C24</f>
        <v>0</v>
      </c>
      <c r="C63" s="2136" t="s">
        <v>31</v>
      </c>
      <c r="D63" s="2253">
        <f t="shared" si="15"/>
        <v>0</v>
      </c>
      <c r="E63" s="2261"/>
      <c r="F63" s="2255"/>
      <c r="G63" s="2256">
        <f t="shared" si="20"/>
        <v>3.0000000000000001E-3</v>
      </c>
      <c r="H63" s="2257">
        <f t="shared" si="16"/>
        <v>3.0000000000000001E-3</v>
      </c>
      <c r="I63" s="2258">
        <v>0.05</v>
      </c>
      <c r="J63" s="2259">
        <f t="shared" si="17"/>
        <v>6.0000000000000001E-3</v>
      </c>
      <c r="K63" s="2259">
        <f t="shared" si="18"/>
        <v>3.0000000000000001E-3</v>
      </c>
      <c r="L63" s="2259">
        <v>0</v>
      </c>
      <c r="M63" s="2259">
        <f t="shared" si="19"/>
        <v>-3.0000000000000001E-3</v>
      </c>
      <c r="N63" s="2259">
        <f t="shared" si="19"/>
        <v>-6.0000000000000001E-3</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2602</v>
      </c>
      <c r="B64" s="2263" t="s">
        <v>2603</v>
      </c>
      <c r="C64" s="2136" t="s">
        <v>30</v>
      </c>
      <c r="D64" s="2253">
        <f t="shared" si="15"/>
        <v>3.0000000000000001E-3</v>
      </c>
      <c r="E64" s="2261"/>
      <c r="F64" s="2255"/>
      <c r="G64" s="2256">
        <f t="shared" si="20"/>
        <v>3.0000000000000001E-3</v>
      </c>
      <c r="H64" s="2257">
        <f t="shared" si="16"/>
        <v>3.0000000000000001E-3</v>
      </c>
      <c r="I64" s="2258">
        <v>0.05</v>
      </c>
      <c r="J64" s="2259">
        <f t="shared" si="17"/>
        <v>6.0000000000000001E-3</v>
      </c>
      <c r="K64" s="2259">
        <f t="shared" si="18"/>
        <v>3.0000000000000001E-3</v>
      </c>
      <c r="L64" s="2259">
        <v>0</v>
      </c>
      <c r="M64" s="2259">
        <f t="shared" si="19"/>
        <v>-3.0000000000000001E-3</v>
      </c>
      <c r="N64" s="2259">
        <f t="shared" si="19"/>
        <v>-6.0000000000000001E-3</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2604</v>
      </c>
      <c r="B65" s="2265" t="str">
        <f>估价对象房地状况!C21</f>
        <v>估价对象所在区域公共配套设施齐备情况</v>
      </c>
      <c r="C65" s="2136" t="s">
        <v>30</v>
      </c>
      <c r="D65" s="2253">
        <f t="shared" si="15"/>
        <v>3.5999999999999999E-3</v>
      </c>
      <c r="E65" s="2261"/>
      <c r="F65" s="2255"/>
      <c r="G65" s="2256">
        <f t="shared" si="20"/>
        <v>3.5999999999999999E-3</v>
      </c>
      <c r="H65" s="2257">
        <f t="shared" si="16"/>
        <v>3.5999999999999999E-3</v>
      </c>
      <c r="I65" s="2258">
        <v>0.06</v>
      </c>
      <c r="J65" s="2259">
        <f t="shared" si="17"/>
        <v>7.1999999999999998E-3</v>
      </c>
      <c r="K65" s="2259">
        <f t="shared" si="18"/>
        <v>3.5999999999999999E-3</v>
      </c>
      <c r="L65" s="2259">
        <v>0</v>
      </c>
      <c r="M65" s="2259">
        <f t="shared" si="19"/>
        <v>-3.5999999999999999E-3</v>
      </c>
      <c r="N65" s="2259">
        <f t="shared" si="19"/>
        <v>-7.1999999999999998E-3</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2605</v>
      </c>
      <c r="B66" s="2265" t="str">
        <f>估价对象房地状况!C22</f>
        <v>估价对象所在区域基础设施水平</v>
      </c>
      <c r="C66" s="2136" t="s">
        <v>29</v>
      </c>
      <c r="D66" s="2253">
        <f t="shared" si="15"/>
        <v>1.44E-2</v>
      </c>
      <c r="E66" s="2261"/>
      <c r="F66" s="2255"/>
      <c r="G66" s="2256">
        <f t="shared" si="20"/>
        <v>7.1999999999999998E-3</v>
      </c>
      <c r="H66" s="2257">
        <f t="shared" si="16"/>
        <v>7.1999999999999998E-3</v>
      </c>
      <c r="I66" s="2258">
        <v>0.12</v>
      </c>
      <c r="J66" s="2259">
        <f t="shared" si="17"/>
        <v>1.44E-2</v>
      </c>
      <c r="K66" s="2259">
        <f t="shared" si="18"/>
        <v>7.1999999999999998E-3</v>
      </c>
      <c r="L66" s="2259">
        <v>0</v>
      </c>
      <c r="M66" s="2259">
        <f t="shared" si="19"/>
        <v>-7.1999999999999998E-3</v>
      </c>
      <c r="N66" s="2259">
        <f t="shared" si="19"/>
        <v>-1.44E-2</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2606</v>
      </c>
      <c r="B67" s="2271" t="str">
        <f>估价对象房地状况!C20</f>
        <v>区域自然环境：；人文环境；综合评价环境状况一般</v>
      </c>
      <c r="C67" s="2136" t="s">
        <v>31</v>
      </c>
      <c r="D67" s="2253">
        <f t="shared" si="15"/>
        <v>0</v>
      </c>
      <c r="E67" s="2268"/>
      <c r="F67" s="2255"/>
      <c r="G67" s="2256">
        <f t="shared" si="20"/>
        <v>3.5999999999999999E-3</v>
      </c>
      <c r="H67" s="2257">
        <f t="shared" si="16"/>
        <v>3.5999999999999999E-3</v>
      </c>
      <c r="I67" s="2269">
        <v>0.06</v>
      </c>
      <c r="J67" s="2259">
        <f t="shared" si="17"/>
        <v>7.1999999999999998E-3</v>
      </c>
      <c r="K67" s="2259">
        <f t="shared" si="18"/>
        <v>3.5999999999999999E-3</v>
      </c>
      <c r="L67" s="2259">
        <v>0</v>
      </c>
      <c r="M67" s="2259">
        <f t="shared" si="19"/>
        <v>-3.5999999999999999E-3</v>
      </c>
      <c r="N67" s="2259">
        <f t="shared" si="19"/>
        <v>-7.1999999999999998E-3</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2612</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2582</v>
      </c>
      <c r="B69" s="2260"/>
      <c r="C69" s="2249" t="s">
        <v>2584</v>
      </c>
      <c r="D69" s="2249" t="s">
        <v>2585</v>
      </c>
      <c r="E69" s="2250" t="s">
        <v>2586</v>
      </c>
      <c r="F69" s="2200" t="s">
        <v>2587</v>
      </c>
      <c r="G69" s="2249" t="s">
        <v>2608</v>
      </c>
      <c r="H69" s="2251" t="s">
        <v>2609</v>
      </c>
      <c r="I69" s="2249" t="s">
        <v>2610</v>
      </c>
      <c r="J69" s="1876" t="s">
        <v>2250</v>
      </c>
      <c r="K69" s="1876" t="s">
        <v>2251</v>
      </c>
      <c r="L69" s="1876" t="s">
        <v>2252</v>
      </c>
      <c r="M69" s="1876" t="s">
        <v>2253</v>
      </c>
      <c r="N69" s="1876" t="s">
        <v>2254</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2613</v>
      </c>
      <c r="B70" s="2252" t="str">
        <f>估价对象房地状况!C15</f>
        <v>估价对象周边居住用地比例、居住小区规模和社区发展完善程度，综合评价居住社区成熟度一般</v>
      </c>
      <c r="C70" s="2136"/>
      <c r="D70" s="2253">
        <f t="shared" ref="D70:D78" si="21">SUMIF($J$69:$N$69,C70,J70:N70)</f>
        <v>0</v>
      </c>
      <c r="E70" s="2254">
        <f>ROUND(SUM(D70:D78),4)</f>
        <v>0</v>
      </c>
      <c r="F70" s="2255" t="str">
        <f>IF(E2="住宅",SUMIF(L1:L12,G2,N1:N12),"——")</f>
        <v>——</v>
      </c>
      <c r="G70" s="2256"/>
      <c r="H70" s="2257" t="str">
        <f t="shared" ref="H70:H78" si="22">IFERROR(ROUNDDOWN($F$70*I70/2,4),"——")</f>
        <v>——</v>
      </c>
      <c r="I70" s="2258">
        <v>0.14000000000000001</v>
      </c>
      <c r="J70" s="2259">
        <f t="shared" ref="J70:J78" si="23">K70+$G70</f>
        <v>0</v>
      </c>
      <c r="K70" s="2259">
        <f t="shared" ref="K70:K78" si="24">$L70+$G70</f>
        <v>0</v>
      </c>
      <c r="L70" s="2259">
        <v>0</v>
      </c>
      <c r="M70" s="2259">
        <f t="shared" ref="M70:N78" si="25">L70-$G70</f>
        <v>0</v>
      </c>
      <c r="N70" s="2259">
        <f t="shared" si="25"/>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2597</v>
      </c>
      <c r="B71" s="2260" t="str">
        <f>估价对象房地状况!C18</f>
        <v>估价对象周边道路状况、公共交通通达情况、停车便捷程度，综合评价交通便捷度较好</v>
      </c>
      <c r="C71" s="2136"/>
      <c r="D71" s="2253">
        <f t="shared" si="21"/>
        <v>0</v>
      </c>
      <c r="E71" s="2261"/>
      <c r="F71" s="2255"/>
      <c r="G71" s="2256"/>
      <c r="H71" s="2257" t="str">
        <f t="shared" si="22"/>
        <v>——</v>
      </c>
      <c r="I71" s="2258">
        <v>0.3</v>
      </c>
      <c r="J71" s="2259">
        <f t="shared" si="23"/>
        <v>0</v>
      </c>
      <c r="K71" s="2259">
        <f t="shared" si="24"/>
        <v>0</v>
      </c>
      <c r="L71" s="2259">
        <v>0</v>
      </c>
      <c r="M71" s="2259">
        <f t="shared" si="25"/>
        <v>0</v>
      </c>
      <c r="N71" s="2259">
        <f t="shared" si="25"/>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2598</v>
      </c>
      <c r="B72" s="2260">
        <f>估价对象房地状况!C19</f>
        <v>0</v>
      </c>
      <c r="C72" s="2136"/>
      <c r="D72" s="2253">
        <f t="shared" si="21"/>
        <v>0</v>
      </c>
      <c r="E72" s="2261"/>
      <c r="F72" s="2255"/>
      <c r="G72" s="2256"/>
      <c r="H72" s="2257" t="str">
        <f t="shared" si="22"/>
        <v>——</v>
      </c>
      <c r="I72" s="2258">
        <v>0.08</v>
      </c>
      <c r="J72" s="2259">
        <f t="shared" si="23"/>
        <v>0</v>
      </c>
      <c r="K72" s="2259">
        <f t="shared" si="24"/>
        <v>0</v>
      </c>
      <c r="L72" s="2259">
        <v>0</v>
      </c>
      <c r="M72" s="2259">
        <f t="shared" si="25"/>
        <v>0</v>
      </c>
      <c r="N72" s="2259">
        <f t="shared" si="25"/>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2614</v>
      </c>
      <c r="B73" s="2260">
        <f>估价对象房地状况!C24</f>
        <v>0</v>
      </c>
      <c r="C73" s="2136"/>
      <c r="D73" s="2253">
        <f t="shared" si="21"/>
        <v>0</v>
      </c>
      <c r="E73" s="2261"/>
      <c r="F73" s="2255"/>
      <c r="G73" s="2256"/>
      <c r="H73" s="2257" t="str">
        <f t="shared" si="22"/>
        <v>——</v>
      </c>
      <c r="I73" s="2258">
        <v>0.04</v>
      </c>
      <c r="J73" s="2259">
        <f t="shared" si="23"/>
        <v>0</v>
      </c>
      <c r="K73" s="2259">
        <f t="shared" si="24"/>
        <v>0</v>
      </c>
      <c r="L73" s="2259">
        <v>0</v>
      </c>
      <c r="M73" s="2259">
        <f t="shared" si="25"/>
        <v>0</v>
      </c>
      <c r="N73" s="2259">
        <f t="shared" si="25"/>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2604</v>
      </c>
      <c r="B74" s="2265" t="str">
        <f>估价对象房地状况!C21</f>
        <v>估价对象所在区域公共配套设施齐备情况</v>
      </c>
      <c r="C74" s="2136"/>
      <c r="D74" s="2253">
        <f t="shared" si="21"/>
        <v>0</v>
      </c>
      <c r="E74" s="2261"/>
      <c r="F74" s="2255"/>
      <c r="G74" s="2256"/>
      <c r="H74" s="2257" t="str">
        <f t="shared" si="22"/>
        <v>——</v>
      </c>
      <c r="I74" s="2258">
        <v>0.08</v>
      </c>
      <c r="J74" s="2259">
        <f t="shared" si="23"/>
        <v>0</v>
      </c>
      <c r="K74" s="2259">
        <f t="shared" si="24"/>
        <v>0</v>
      </c>
      <c r="L74" s="2259">
        <v>0</v>
      </c>
      <c r="M74" s="2259">
        <f t="shared" si="25"/>
        <v>0</v>
      </c>
      <c r="N74" s="2259">
        <f t="shared" si="25"/>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2605</v>
      </c>
      <c r="B75" s="2265" t="str">
        <f>估价对象房地状况!C22</f>
        <v>估价对象所在区域基础设施水平</v>
      </c>
      <c r="C75" s="2136"/>
      <c r="D75" s="2253">
        <f t="shared" si="21"/>
        <v>0</v>
      </c>
      <c r="E75" s="2261"/>
      <c r="F75" s="2255"/>
      <c r="G75" s="2256"/>
      <c r="H75" s="2257" t="str">
        <f t="shared" si="22"/>
        <v>——</v>
      </c>
      <c r="I75" s="2258">
        <v>0.12</v>
      </c>
      <c r="J75" s="2259">
        <f t="shared" si="23"/>
        <v>0</v>
      </c>
      <c r="K75" s="2259">
        <f t="shared" si="24"/>
        <v>0</v>
      </c>
      <c r="L75" s="2259">
        <v>0</v>
      </c>
      <c r="M75" s="2259">
        <f t="shared" si="25"/>
        <v>0</v>
      </c>
      <c r="N75" s="2259">
        <f t="shared" si="25"/>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2602</v>
      </c>
      <c r="B76" s="2263" t="s">
        <v>2603</v>
      </c>
      <c r="C76" s="2136"/>
      <c r="D76" s="2253">
        <f t="shared" si="21"/>
        <v>0</v>
      </c>
      <c r="E76" s="2261"/>
      <c r="F76" s="2255"/>
      <c r="G76" s="2256"/>
      <c r="H76" s="2257" t="str">
        <f t="shared" si="22"/>
        <v>——</v>
      </c>
      <c r="I76" s="2258">
        <v>0.05</v>
      </c>
      <c r="J76" s="2259">
        <f t="shared" si="23"/>
        <v>0</v>
      </c>
      <c r="K76" s="2259">
        <f t="shared" si="24"/>
        <v>0</v>
      </c>
      <c r="L76" s="2259">
        <v>0</v>
      </c>
      <c r="M76" s="2259">
        <f t="shared" si="25"/>
        <v>0</v>
      </c>
      <c r="N76" s="2259">
        <f t="shared" si="25"/>
        <v>0</v>
      </c>
      <c r="Q76" s="3028"/>
      <c r="R76" s="3028"/>
      <c r="S76" s="3028"/>
      <c r="T76" s="3028"/>
      <c r="U76" s="3028"/>
      <c r="V76" s="3028"/>
      <c r="W76" s="3028"/>
      <c r="AA76" s="1594"/>
      <c r="AG76" s="2235"/>
    </row>
    <row r="77" spans="1:33" ht="38.25">
      <c r="A77" s="2248" t="s">
        <v>2606</v>
      </c>
      <c r="B77" s="2252" t="str">
        <f>估价对象房地状况!C20</f>
        <v>区域自然环境：；人文环境；综合评价环境状况一般</v>
      </c>
      <c r="C77" s="2136"/>
      <c r="D77" s="2253">
        <f t="shared" si="21"/>
        <v>0</v>
      </c>
      <c r="E77" s="2261"/>
      <c r="F77" s="2255"/>
      <c r="G77" s="2256"/>
      <c r="H77" s="2257" t="str">
        <f t="shared" si="22"/>
        <v>——</v>
      </c>
      <c r="I77" s="2258">
        <v>0.15</v>
      </c>
      <c r="J77" s="2259">
        <f t="shared" si="23"/>
        <v>0</v>
      </c>
      <c r="K77" s="2259">
        <f t="shared" si="24"/>
        <v>0</v>
      </c>
      <c r="L77" s="2259">
        <v>0</v>
      </c>
      <c r="M77" s="2259">
        <f t="shared" si="25"/>
        <v>0</v>
      </c>
      <c r="N77" s="2259">
        <f t="shared" si="25"/>
        <v>0</v>
      </c>
      <c r="Q77" s="3028"/>
      <c r="R77" s="3028"/>
      <c r="S77" s="3028"/>
      <c r="T77" s="3028"/>
      <c r="U77" s="3028"/>
      <c r="V77" s="3028"/>
      <c r="W77" s="3028"/>
      <c r="AA77" s="1594"/>
      <c r="AG77" s="2235"/>
    </row>
    <row r="78" spans="1:33" ht="24.75" thickBot="1">
      <c r="A78" s="2266" t="s">
        <v>2615</v>
      </c>
      <c r="B78" s="2272"/>
      <c r="C78" s="2136"/>
      <c r="D78" s="2253">
        <f t="shared" si="21"/>
        <v>0</v>
      </c>
      <c r="E78" s="2268"/>
      <c r="F78" s="2255"/>
      <c r="G78" s="2256"/>
      <c r="H78" s="2257" t="str">
        <f t="shared" si="22"/>
        <v>——</v>
      </c>
      <c r="I78" s="2269">
        <v>0.04</v>
      </c>
      <c r="J78" s="2259">
        <f t="shared" si="23"/>
        <v>0</v>
      </c>
      <c r="K78" s="2259">
        <f t="shared" si="24"/>
        <v>0</v>
      </c>
      <c r="L78" s="2259">
        <v>0</v>
      </c>
      <c r="M78" s="2259">
        <f t="shared" si="25"/>
        <v>0</v>
      </c>
      <c r="N78" s="2259">
        <f t="shared" si="25"/>
        <v>0</v>
      </c>
      <c r="Q78" s="3028"/>
      <c r="R78" s="3028"/>
      <c r="S78" s="3028"/>
      <c r="T78" s="3028"/>
      <c r="U78" s="3028"/>
      <c r="V78" s="3028"/>
      <c r="W78" s="3028"/>
      <c r="AA78" s="1594"/>
      <c r="AG78" s="2235"/>
    </row>
    <row r="79" spans="1:33" ht="15">
      <c r="A79" s="2241" t="s">
        <v>2616</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2582</v>
      </c>
      <c r="B80" s="2260"/>
      <c r="C80" s="2249" t="s">
        <v>2584</v>
      </c>
      <c r="D80" s="2249" t="s">
        <v>2585</v>
      </c>
      <c r="E80" s="2250" t="s">
        <v>2586</v>
      </c>
      <c r="F80" s="2200" t="s">
        <v>2587</v>
      </c>
      <c r="G80" s="2249" t="s">
        <v>2608</v>
      </c>
      <c r="H80" s="2251" t="s">
        <v>2609</v>
      </c>
      <c r="I80" s="2249" t="s">
        <v>2610</v>
      </c>
      <c r="J80" s="1876" t="s">
        <v>2250</v>
      </c>
      <c r="K80" s="1876" t="s">
        <v>2251</v>
      </c>
      <c r="L80" s="1876" t="s">
        <v>2252</v>
      </c>
      <c r="M80" s="1876" t="s">
        <v>2253</v>
      </c>
      <c r="N80" s="1876" t="s">
        <v>2254</v>
      </c>
      <c r="Q80" s="3028"/>
      <c r="R80" s="3028"/>
      <c r="S80" s="3028"/>
      <c r="T80" s="3028"/>
      <c r="U80" s="3028"/>
      <c r="V80" s="3028"/>
      <c r="W80" s="3028"/>
      <c r="AA80" s="1594"/>
      <c r="AG80" s="2235"/>
    </row>
    <row r="81" spans="1:33" ht="38.25">
      <c r="A81" s="2248" t="s">
        <v>2617</v>
      </c>
      <c r="B81" s="2260" t="str">
        <f>估价对象房地状况!G15</f>
        <v>估价对象位于XX开发区，园区建设成熟度XX，产业集聚程度XX</v>
      </c>
      <c r="C81" s="2136"/>
      <c r="D81" s="2253">
        <f t="shared" ref="D81:D88" si="26">SUMIF($J$80:$N$80,C81,J81:N81)</f>
        <v>0</v>
      </c>
      <c r="E81" s="2254">
        <f>ROUND(SUM(D81:D88),4)</f>
        <v>0</v>
      </c>
      <c r="F81" s="2255" t="str">
        <f>IF(E2="工业",SUMIF(L1:L12,G2,N1:N12),"——")</f>
        <v>——</v>
      </c>
      <c r="G81" s="2256"/>
      <c r="H81" s="2257" t="str">
        <f t="shared" ref="H81:H88" si="27">IFERROR(ROUNDDOWN($F$81*I81/2,4),"——")</f>
        <v>——</v>
      </c>
      <c r="I81" s="2258">
        <v>0.26</v>
      </c>
      <c r="J81" s="2259">
        <f t="shared" ref="J81:J88" si="28">K81+$G81</f>
        <v>0</v>
      </c>
      <c r="K81" s="2259">
        <f t="shared" ref="K81:K88" si="29">$L81+$G81</f>
        <v>0</v>
      </c>
      <c r="L81" s="2259">
        <v>0</v>
      </c>
      <c r="M81" s="2259">
        <f t="shared" ref="M81:N88" si="30">L81-$G81</f>
        <v>0</v>
      </c>
      <c r="N81" s="2259">
        <f t="shared" si="30"/>
        <v>0</v>
      </c>
      <c r="Q81" s="3028"/>
      <c r="R81" s="3028"/>
      <c r="S81" s="3028"/>
      <c r="T81" s="3028"/>
      <c r="U81" s="3028"/>
      <c r="V81" s="3028"/>
      <c r="W81" s="3028"/>
      <c r="AA81" s="1594"/>
      <c r="AG81" s="2235"/>
    </row>
    <row r="82" spans="1:33" ht="51">
      <c r="A82" s="2248" t="s">
        <v>2597</v>
      </c>
      <c r="B82" s="2260" t="str">
        <f>估价对象房地状况!G16</f>
        <v>估价对象周边道路状况、公共交通通达情况、停车便捷程度，综合评价交通便捷度较好</v>
      </c>
      <c r="C82" s="2136"/>
      <c r="D82" s="2253">
        <f t="shared" si="26"/>
        <v>0</v>
      </c>
      <c r="E82" s="2261"/>
      <c r="F82" s="2255"/>
      <c r="G82" s="2256"/>
      <c r="H82" s="2257" t="str">
        <f t="shared" si="27"/>
        <v>——</v>
      </c>
      <c r="I82" s="2258">
        <v>0.33</v>
      </c>
      <c r="J82" s="2259">
        <f t="shared" si="28"/>
        <v>0</v>
      </c>
      <c r="K82" s="2259">
        <f t="shared" si="29"/>
        <v>0</v>
      </c>
      <c r="L82" s="2259">
        <v>0</v>
      </c>
      <c r="M82" s="2259">
        <f t="shared" si="30"/>
        <v>0</v>
      </c>
      <c r="N82" s="2259">
        <f t="shared" si="30"/>
        <v>0</v>
      </c>
      <c r="Q82" s="3028"/>
      <c r="R82" s="3028"/>
      <c r="S82" s="3028"/>
      <c r="T82" s="3028"/>
      <c r="U82" s="3028"/>
      <c r="V82" s="3028"/>
      <c r="W82" s="3028"/>
      <c r="AA82" s="1594"/>
      <c r="AG82" s="2235"/>
    </row>
    <row r="83" spans="1:33" ht="24">
      <c r="A83" s="2248" t="s">
        <v>2598</v>
      </c>
      <c r="B83" s="2260">
        <f>估价对象房地状况!G17</f>
        <v>0</v>
      </c>
      <c r="C83" s="2136"/>
      <c r="D83" s="2253">
        <f t="shared" si="26"/>
        <v>0</v>
      </c>
      <c r="E83" s="2261"/>
      <c r="F83" s="2255"/>
      <c r="G83" s="2256"/>
      <c r="H83" s="2257" t="str">
        <f t="shared" si="27"/>
        <v>——</v>
      </c>
      <c r="I83" s="2258">
        <v>0.05</v>
      </c>
      <c r="J83" s="2259">
        <f t="shared" si="28"/>
        <v>0</v>
      </c>
      <c r="K83" s="2259">
        <f t="shared" si="29"/>
        <v>0</v>
      </c>
      <c r="L83" s="2259">
        <v>0</v>
      </c>
      <c r="M83" s="2259">
        <f t="shared" si="30"/>
        <v>0</v>
      </c>
      <c r="N83" s="2259">
        <f t="shared" si="30"/>
        <v>0</v>
      </c>
      <c r="Q83" s="3028"/>
      <c r="R83" s="3028"/>
      <c r="S83" s="3028"/>
      <c r="T83" s="3028"/>
      <c r="U83" s="3028"/>
      <c r="V83" s="3028"/>
      <c r="W83" s="3028"/>
      <c r="AA83" s="1594"/>
      <c r="AG83" s="2235"/>
    </row>
    <row r="84" spans="1:33" ht="14.25">
      <c r="A84" s="2248" t="s">
        <v>2614</v>
      </c>
      <c r="B84" s="2260">
        <f>估价对象房地状况!G22</f>
        <v>0</v>
      </c>
      <c r="C84" s="2136"/>
      <c r="D84" s="2253">
        <f t="shared" si="26"/>
        <v>0</v>
      </c>
      <c r="E84" s="2261"/>
      <c r="F84" s="2255"/>
      <c r="G84" s="2256"/>
      <c r="H84" s="2257" t="str">
        <f t="shared" si="27"/>
        <v>——</v>
      </c>
      <c r="I84" s="2258">
        <v>0.04</v>
      </c>
      <c r="J84" s="2259">
        <f t="shared" si="28"/>
        <v>0</v>
      </c>
      <c r="K84" s="2259">
        <f t="shared" si="29"/>
        <v>0</v>
      </c>
      <c r="L84" s="2259">
        <v>0</v>
      </c>
      <c r="M84" s="2259">
        <f t="shared" si="30"/>
        <v>0</v>
      </c>
      <c r="N84" s="2259">
        <f t="shared" si="30"/>
        <v>0</v>
      </c>
      <c r="Q84" s="3028"/>
      <c r="R84" s="3028"/>
      <c r="S84" s="3028"/>
      <c r="T84" s="3028"/>
      <c r="U84" s="3028"/>
      <c r="V84" s="3028"/>
      <c r="W84" s="3028"/>
      <c r="AA84" s="1594"/>
      <c r="AG84" s="2235"/>
    </row>
    <row r="85" spans="1:33" ht="25.5">
      <c r="A85" s="2248" t="s">
        <v>2604</v>
      </c>
      <c r="B85" s="2265" t="str">
        <f>估价对象房地状况!G19</f>
        <v>估价对象所在区域公共配套设施齐备情况</v>
      </c>
      <c r="C85" s="2136"/>
      <c r="D85" s="2253">
        <f t="shared" si="26"/>
        <v>0</v>
      </c>
      <c r="E85" s="2261"/>
      <c r="F85" s="2255"/>
      <c r="G85" s="2256"/>
      <c r="H85" s="2257" t="str">
        <f t="shared" si="27"/>
        <v>——</v>
      </c>
      <c r="I85" s="2258">
        <v>0.06</v>
      </c>
      <c r="J85" s="2259">
        <f t="shared" si="28"/>
        <v>0</v>
      </c>
      <c r="K85" s="2259">
        <f t="shared" si="29"/>
        <v>0</v>
      </c>
      <c r="L85" s="2259">
        <v>0</v>
      </c>
      <c r="M85" s="2259">
        <f t="shared" si="30"/>
        <v>0</v>
      </c>
      <c r="N85" s="2259">
        <f t="shared" si="30"/>
        <v>0</v>
      </c>
      <c r="Q85" s="3028"/>
      <c r="R85" s="3028"/>
      <c r="S85" s="3028"/>
      <c r="T85" s="3028"/>
      <c r="U85" s="3028"/>
      <c r="V85" s="3028"/>
      <c r="W85" s="3028"/>
      <c r="AA85" s="1594"/>
      <c r="AG85" s="2235"/>
    </row>
    <row r="86" spans="1:33" ht="25.5">
      <c r="A86" s="2248" t="s">
        <v>2605</v>
      </c>
      <c r="B86" s="2265" t="str">
        <f>估价对象房地状况!G20</f>
        <v>估价对象所在区域基础设施水平</v>
      </c>
      <c r="C86" s="2136"/>
      <c r="D86" s="2253">
        <f t="shared" si="26"/>
        <v>0</v>
      </c>
      <c r="E86" s="2261"/>
      <c r="F86" s="2255"/>
      <c r="G86" s="2256"/>
      <c r="H86" s="2257" t="str">
        <f t="shared" si="27"/>
        <v>——</v>
      </c>
      <c r="I86" s="2258">
        <v>0.15</v>
      </c>
      <c r="J86" s="2259">
        <f t="shared" si="28"/>
        <v>0</v>
      </c>
      <c r="K86" s="2259">
        <f t="shared" si="29"/>
        <v>0</v>
      </c>
      <c r="L86" s="2259">
        <v>0</v>
      </c>
      <c r="M86" s="2259">
        <f t="shared" si="30"/>
        <v>0</v>
      </c>
      <c r="N86" s="2259">
        <f t="shared" si="30"/>
        <v>0</v>
      </c>
      <c r="Q86" s="3028"/>
      <c r="R86" s="3028"/>
      <c r="S86" s="3028"/>
      <c r="T86" s="3028"/>
      <c r="U86" s="3028"/>
      <c r="V86" s="3028"/>
      <c r="W86" s="3028"/>
      <c r="AA86" s="1594"/>
      <c r="AG86" s="2235"/>
    </row>
    <row r="87" spans="1:33" ht="24">
      <c r="A87" s="2248" t="s">
        <v>2602</v>
      </c>
      <c r="B87" s="2263" t="s">
        <v>2603</v>
      </c>
      <c r="C87" s="2136"/>
      <c r="D87" s="2253">
        <f t="shared" si="26"/>
        <v>0</v>
      </c>
      <c r="E87" s="2261"/>
      <c r="F87" s="2255"/>
      <c r="G87" s="2256"/>
      <c r="H87" s="2257" t="str">
        <f t="shared" si="27"/>
        <v>——</v>
      </c>
      <c r="I87" s="2258">
        <v>0.05</v>
      </c>
      <c r="J87" s="2259">
        <f t="shared" si="28"/>
        <v>0</v>
      </c>
      <c r="K87" s="2259">
        <f t="shared" si="29"/>
        <v>0</v>
      </c>
      <c r="L87" s="2259">
        <v>0</v>
      </c>
      <c r="M87" s="2259">
        <f t="shared" si="30"/>
        <v>0</v>
      </c>
      <c r="N87" s="2259">
        <f t="shared" si="30"/>
        <v>0</v>
      </c>
      <c r="Q87" s="3028"/>
      <c r="R87" s="3028"/>
      <c r="S87" s="3028"/>
      <c r="T87" s="3028"/>
      <c r="U87" s="3028"/>
      <c r="V87" s="3028"/>
      <c r="W87" s="3028"/>
      <c r="AA87" s="1594"/>
      <c r="AG87" s="2235"/>
    </row>
    <row r="88" spans="1:33" ht="39" thickBot="1">
      <c r="A88" s="2266" t="s">
        <v>2618</v>
      </c>
      <c r="B88" s="2273" t="str">
        <f>估价对象房地状况!G18</f>
        <v>该园区内是否有污染型企业，绿化情况，卫生条件，整体环境状况判断</v>
      </c>
      <c r="C88" s="2274"/>
      <c r="D88" s="2275">
        <f t="shared" si="26"/>
        <v>0</v>
      </c>
      <c r="E88" s="2268"/>
      <c r="F88" s="2255"/>
      <c r="G88" s="2256"/>
      <c r="H88" s="2257" t="str">
        <f t="shared" si="27"/>
        <v>——</v>
      </c>
      <c r="I88" s="2269">
        <v>0.06</v>
      </c>
      <c r="J88" s="2259">
        <f t="shared" si="28"/>
        <v>0</v>
      </c>
      <c r="K88" s="2259">
        <f t="shared" si="29"/>
        <v>0</v>
      </c>
      <c r="L88" s="2259">
        <v>0</v>
      </c>
      <c r="M88" s="2259">
        <f t="shared" si="30"/>
        <v>0</v>
      </c>
      <c r="N88" s="2259">
        <f t="shared" si="30"/>
        <v>0</v>
      </c>
      <c r="Q88" s="3028"/>
      <c r="R88" s="3028"/>
      <c r="S88" s="3028"/>
      <c r="T88" s="3028"/>
      <c r="U88" s="3028"/>
      <c r="V88" s="3028"/>
      <c r="W88" s="3028"/>
      <c r="AA88" s="1594"/>
      <c r="AG88" s="2235"/>
    </row>
    <row r="89" spans="1:33">
      <c r="Q89" s="3028"/>
      <c r="R89" s="3028"/>
      <c r="S89" s="3028"/>
      <c r="T89" s="3028"/>
      <c r="U89" s="3028"/>
      <c r="V89" s="3028"/>
      <c r="W89" s="3028"/>
    </row>
    <row r="90" spans="1:33">
      <c r="A90" s="3591" t="s">
        <v>2619</v>
      </c>
      <c r="B90" s="3591"/>
      <c r="C90" s="3591"/>
      <c r="D90" s="3591"/>
      <c r="E90" s="3591"/>
      <c r="F90" s="3591"/>
      <c r="G90" s="3591"/>
      <c r="H90" s="3591"/>
      <c r="I90" s="3591"/>
      <c r="J90" s="3591"/>
      <c r="K90" s="2276"/>
      <c r="L90" s="2276"/>
      <c r="M90" s="2276"/>
      <c r="N90" s="2276"/>
      <c r="Q90" s="3028"/>
      <c r="R90" s="3028"/>
      <c r="S90" s="3028"/>
      <c r="T90" s="3028"/>
      <c r="U90" s="3028"/>
      <c r="V90" s="3028"/>
      <c r="W90" s="3028"/>
    </row>
    <row r="91" spans="1:33">
      <c r="A91" s="3593" t="s">
        <v>2620</v>
      </c>
      <c r="B91" s="3593" t="s">
        <v>2621</v>
      </c>
      <c r="C91" s="2215" t="s">
        <v>2622</v>
      </c>
      <c r="D91" s="2216"/>
      <c r="E91" s="2216"/>
      <c r="F91" s="2216"/>
      <c r="G91" s="2216"/>
      <c r="H91" s="2216"/>
      <c r="I91" s="2216"/>
      <c r="J91" s="2278"/>
      <c r="K91" s="2038"/>
      <c r="L91" s="2038"/>
      <c r="M91" s="2038"/>
      <c r="N91" s="2038"/>
      <c r="Q91" s="3028"/>
      <c r="R91" s="3028"/>
      <c r="S91" s="3028"/>
      <c r="T91" s="3028"/>
      <c r="U91" s="3028"/>
      <c r="V91" s="3028"/>
      <c r="W91" s="3028"/>
    </row>
    <row r="92" spans="1:33">
      <c r="A92" s="3593"/>
      <c r="B92" s="3593"/>
      <c r="C92" s="2001" t="s">
        <v>2475</v>
      </c>
      <c r="D92" s="2001" t="s">
        <v>2476</v>
      </c>
      <c r="E92" s="2001" t="s">
        <v>2477</v>
      </c>
      <c r="F92" s="2001" t="s">
        <v>2478</v>
      </c>
      <c r="G92" s="2001" t="s">
        <v>2479</v>
      </c>
      <c r="H92" s="2001" t="s">
        <v>2480</v>
      </c>
      <c r="I92" s="2001" t="s">
        <v>2481</v>
      </c>
      <c r="J92" s="2001" t="s">
        <v>2482</v>
      </c>
      <c r="K92" s="2001" t="s">
        <v>2483</v>
      </c>
      <c r="L92" s="2001" t="s">
        <v>2484</v>
      </c>
      <c r="M92" s="2001" t="s">
        <v>2485</v>
      </c>
      <c r="N92" s="2001" t="s">
        <v>2486</v>
      </c>
      <c r="Q92" s="3028"/>
      <c r="R92" s="3028"/>
      <c r="S92" s="3028"/>
      <c r="T92" s="3028"/>
      <c r="U92" s="3028"/>
      <c r="V92" s="3028"/>
      <c r="W92" s="3028"/>
    </row>
    <row r="93" spans="1:33">
      <c r="A93" s="3594" t="s">
        <v>2623</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595"/>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595"/>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595"/>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595"/>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595"/>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595"/>
      <c r="B99" s="2279" t="s">
        <v>2491</v>
      </c>
      <c r="C99" s="2281">
        <f>$I$3</f>
        <v>0</v>
      </c>
      <c r="D99" s="2281">
        <f t="shared" ref="D99:M99" si="31">$I$3</f>
        <v>0</v>
      </c>
      <c r="E99" s="2281">
        <f t="shared" si="31"/>
        <v>0</v>
      </c>
      <c r="F99" s="2281">
        <f t="shared" si="31"/>
        <v>0</v>
      </c>
      <c r="G99" s="2281">
        <f t="shared" si="31"/>
        <v>0</v>
      </c>
      <c r="H99" s="2281">
        <f t="shared" si="31"/>
        <v>0</v>
      </c>
      <c r="I99" s="2281">
        <f t="shared" si="31"/>
        <v>0</v>
      </c>
      <c r="J99" s="2281">
        <f t="shared" si="31"/>
        <v>0</v>
      </c>
      <c r="K99" s="2281">
        <f t="shared" si="31"/>
        <v>0</v>
      </c>
      <c r="L99" s="2281">
        <f t="shared" si="31"/>
        <v>0</v>
      </c>
      <c r="M99" s="2281">
        <f t="shared" si="31"/>
        <v>0</v>
      </c>
      <c r="N99" s="2281">
        <f>$I$3</f>
        <v>0</v>
      </c>
      <c r="Q99" s="3028"/>
      <c r="R99" s="3028"/>
      <c r="S99" s="3028"/>
      <c r="T99" s="3028"/>
      <c r="U99" s="3028"/>
      <c r="V99" s="3028"/>
      <c r="W99" s="3028"/>
    </row>
    <row r="100" spans="1:23">
      <c r="A100" s="3596"/>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8"/>
      <c r="R100" s="3028"/>
      <c r="S100" s="3028"/>
      <c r="T100" s="3028"/>
      <c r="U100" s="3028"/>
      <c r="V100" s="3028"/>
      <c r="W100" s="3028"/>
    </row>
    <row r="101" spans="1:23">
      <c r="A101" s="3594" t="s">
        <v>2624</v>
      </c>
      <c r="B101" s="2283" t="s">
        <v>2625</v>
      </c>
      <c r="C101" s="2284">
        <f>$G$3</f>
        <v>2.5</v>
      </c>
      <c r="D101" s="2284">
        <f t="shared" ref="D101:N101" si="32">$G$3</f>
        <v>2.5</v>
      </c>
      <c r="E101" s="2284">
        <f t="shared" si="32"/>
        <v>2.5</v>
      </c>
      <c r="F101" s="2284">
        <f t="shared" si="32"/>
        <v>2.5</v>
      </c>
      <c r="G101" s="2284">
        <f t="shared" si="32"/>
        <v>2.5</v>
      </c>
      <c r="H101" s="2284">
        <f t="shared" si="32"/>
        <v>2.5</v>
      </c>
      <c r="I101" s="2284">
        <f t="shared" si="32"/>
        <v>2.5</v>
      </c>
      <c r="J101" s="2284">
        <f t="shared" si="32"/>
        <v>2.5</v>
      </c>
      <c r="K101" s="2284">
        <f t="shared" si="32"/>
        <v>2.5</v>
      </c>
      <c r="L101" s="2284">
        <f t="shared" si="32"/>
        <v>2.5</v>
      </c>
      <c r="M101" s="2284">
        <f t="shared" si="32"/>
        <v>2.5</v>
      </c>
      <c r="N101" s="2284">
        <f t="shared" si="32"/>
        <v>2.5</v>
      </c>
      <c r="Q101" s="3028"/>
      <c r="R101" s="3028"/>
      <c r="S101" s="3028"/>
      <c r="T101" s="3028"/>
      <c r="U101" s="3028"/>
      <c r="V101" s="3028"/>
      <c r="W101" s="3028"/>
    </row>
    <row r="102" spans="1:23">
      <c r="A102" s="3595"/>
      <c r="B102" s="2279">
        <v>1</v>
      </c>
      <c r="C102" s="2280">
        <f>1.9362/C101</f>
        <v>0.77447999999999995</v>
      </c>
      <c r="D102" s="2280">
        <f>1.9362/D101</f>
        <v>0.77447999999999995</v>
      </c>
      <c r="E102" s="2280">
        <f>1.8629/E101</f>
        <v>0.74516000000000004</v>
      </c>
      <c r="F102" s="2280">
        <f>1.8629/F101</f>
        <v>0.74516000000000004</v>
      </c>
      <c r="G102" s="2280">
        <f>1.8629/G101</f>
        <v>0.74516000000000004</v>
      </c>
      <c r="H102" s="2280">
        <f>1.8629/H101</f>
        <v>0.74516000000000004</v>
      </c>
      <c r="I102" s="2280">
        <f>1.8629/I101</f>
        <v>0.74516000000000004</v>
      </c>
      <c r="J102" s="2280">
        <f>1.942/J101</f>
        <v>0.77679999999999993</v>
      </c>
      <c r="K102" s="2280">
        <f>1.942/K101</f>
        <v>0.77679999999999993</v>
      </c>
      <c r="L102" s="2280">
        <f>1.942/L101</f>
        <v>0.77679999999999993</v>
      </c>
      <c r="M102" s="2280">
        <f>1.942/M101</f>
        <v>0.77679999999999993</v>
      </c>
      <c r="N102" s="2280">
        <f>1.942/N101</f>
        <v>0.77679999999999993</v>
      </c>
      <c r="Q102" s="3028"/>
      <c r="R102" s="3028"/>
      <c r="S102" s="3028"/>
      <c r="T102" s="3028"/>
      <c r="U102" s="3028"/>
      <c r="V102" s="3028"/>
      <c r="W102" s="3028"/>
    </row>
    <row r="103" spans="1:23">
      <c r="A103" s="3595"/>
      <c r="B103" s="2279">
        <v>2</v>
      </c>
      <c r="C103" s="2280">
        <f>1.4198/C101</f>
        <v>0.56791999999999998</v>
      </c>
      <c r="D103" s="2280">
        <f>1.4198/D101</f>
        <v>0.56791999999999998</v>
      </c>
      <c r="E103" s="2280">
        <f>1.3372/E101</f>
        <v>0.53488000000000002</v>
      </c>
      <c r="F103" s="2280">
        <f>1.3372/F101</f>
        <v>0.53488000000000002</v>
      </c>
      <c r="G103" s="2280">
        <f>1.3372/G101</f>
        <v>0.53488000000000002</v>
      </c>
      <c r="H103" s="2280">
        <f>1.3372/H101</f>
        <v>0.53488000000000002</v>
      </c>
      <c r="I103" s="2280">
        <f>1.3372/I101</f>
        <v>0.53488000000000002</v>
      </c>
      <c r="J103" s="2280">
        <f>1.2799/J101</f>
        <v>0.51195999999999997</v>
      </c>
      <c r="K103" s="2280">
        <f>1.2799/K101</f>
        <v>0.51195999999999997</v>
      </c>
      <c r="L103" s="2280">
        <f>1.2799/L101</f>
        <v>0.51195999999999997</v>
      </c>
      <c r="M103" s="2280">
        <f>1.2799/M101</f>
        <v>0.51195999999999997</v>
      </c>
      <c r="N103" s="2280">
        <f>1.2799/N101</f>
        <v>0.51195999999999997</v>
      </c>
      <c r="Q103" s="3028"/>
      <c r="R103" s="3028"/>
      <c r="S103" s="3028"/>
      <c r="T103" s="3028"/>
      <c r="U103" s="3028"/>
      <c r="V103" s="3028"/>
      <c r="W103" s="3028"/>
    </row>
    <row r="104" spans="1:23">
      <c r="A104" s="3595"/>
      <c r="B104" s="2279">
        <v>3</v>
      </c>
      <c r="C104" s="2280">
        <f>1.1594/C101</f>
        <v>0.46376000000000001</v>
      </c>
      <c r="D104" s="2280">
        <f>1.1594/D101</f>
        <v>0.46376000000000001</v>
      </c>
      <c r="E104" s="2280">
        <f>1.0788/E101</f>
        <v>0.43152000000000001</v>
      </c>
      <c r="F104" s="2280">
        <f>1.0788/F101</f>
        <v>0.43152000000000001</v>
      </c>
      <c r="G104" s="2280">
        <f>1.0788/G101</f>
        <v>0.43152000000000001</v>
      </c>
      <c r="H104" s="2280">
        <f>1.0788/H101</f>
        <v>0.43152000000000001</v>
      </c>
      <c r="I104" s="2280">
        <f>1.0788/I101</f>
        <v>0.43152000000000001</v>
      </c>
      <c r="J104" s="2280">
        <f>1.0072/J101</f>
        <v>0.40288000000000002</v>
      </c>
      <c r="K104" s="2280">
        <f>1.0072/K101</f>
        <v>0.40288000000000002</v>
      </c>
      <c r="L104" s="2280">
        <f>1.0072/L101</f>
        <v>0.40288000000000002</v>
      </c>
      <c r="M104" s="2280">
        <f>1.0072/M101</f>
        <v>0.40288000000000002</v>
      </c>
      <c r="N104" s="2280">
        <f>1.0072/N101</f>
        <v>0.40288000000000002</v>
      </c>
      <c r="Q104" s="3028"/>
      <c r="R104" s="3028"/>
      <c r="S104" s="3028"/>
      <c r="T104" s="3028"/>
      <c r="U104" s="3028"/>
      <c r="V104" s="3028"/>
      <c r="W104" s="3028"/>
    </row>
    <row r="105" spans="1:23">
      <c r="A105" s="3595"/>
      <c r="B105" s="2279">
        <v>4</v>
      </c>
      <c r="C105" s="2280">
        <f>0.9622/C101</f>
        <v>0.38488</v>
      </c>
      <c r="D105" s="2280">
        <f>0.9622/D101</f>
        <v>0.38488</v>
      </c>
      <c r="E105" s="2280">
        <f>0.8656/E101</f>
        <v>0.34623999999999999</v>
      </c>
      <c r="F105" s="2280">
        <f>0.8656/F101</f>
        <v>0.34623999999999999</v>
      </c>
      <c r="G105" s="2280">
        <f>0.8656/G101</f>
        <v>0.34623999999999999</v>
      </c>
      <c r="H105" s="2280">
        <f>0.8656/H101</f>
        <v>0.34623999999999999</v>
      </c>
      <c r="I105" s="2280">
        <f>0.8656/I101</f>
        <v>0.34623999999999999</v>
      </c>
      <c r="J105" s="2280">
        <f>0.7525/J101</f>
        <v>0.30099999999999999</v>
      </c>
      <c r="K105" s="2280">
        <f>0.7525/K101</f>
        <v>0.30099999999999999</v>
      </c>
      <c r="L105" s="2280">
        <f>0.7525/L101</f>
        <v>0.30099999999999999</v>
      </c>
      <c r="M105" s="2280">
        <f>0.7525/M101</f>
        <v>0.30099999999999999</v>
      </c>
      <c r="N105" s="2280">
        <f>0.7525/N101</f>
        <v>0.30099999999999999</v>
      </c>
      <c r="Q105" s="3028"/>
      <c r="R105" s="3028"/>
      <c r="S105" s="3028"/>
      <c r="T105" s="3028"/>
      <c r="U105" s="3028"/>
      <c r="V105" s="3028"/>
      <c r="W105" s="3028"/>
    </row>
    <row r="106" spans="1:23">
      <c r="A106" s="3595"/>
      <c r="B106" s="2279">
        <v>5</v>
      </c>
      <c r="C106" s="2280">
        <f>0.8417/C101</f>
        <v>0.33667999999999998</v>
      </c>
      <c r="D106" s="2280">
        <f>0.8417/D101</f>
        <v>0.33667999999999998</v>
      </c>
      <c r="E106" s="2280">
        <f>0.7371/E101</f>
        <v>0.29483999999999999</v>
      </c>
      <c r="F106" s="2280">
        <f>0.7371/F101</f>
        <v>0.29483999999999999</v>
      </c>
      <c r="G106" s="2280">
        <f>0.7371/G101</f>
        <v>0.29483999999999999</v>
      </c>
      <c r="H106" s="2280">
        <f>0.7371/H101</f>
        <v>0.29483999999999999</v>
      </c>
      <c r="I106" s="2280">
        <f>0.7371/I101</f>
        <v>0.29483999999999999</v>
      </c>
      <c r="J106" s="2280">
        <f>0.5659/J101</f>
        <v>0.22635999999999998</v>
      </c>
      <c r="K106" s="2280">
        <f>0.5659/K101</f>
        <v>0.22635999999999998</v>
      </c>
      <c r="L106" s="2280">
        <f>0.5659/L101</f>
        <v>0.22635999999999998</v>
      </c>
      <c r="M106" s="2280">
        <f>0.5659/M101</f>
        <v>0.22635999999999998</v>
      </c>
      <c r="N106" s="2280">
        <f>0.5659/N101</f>
        <v>0.22635999999999998</v>
      </c>
      <c r="Q106" s="3028"/>
      <c r="R106" s="3028"/>
      <c r="S106" s="3028"/>
      <c r="T106" s="3028"/>
      <c r="U106" s="3028"/>
      <c r="V106" s="3028"/>
      <c r="W106" s="3028"/>
    </row>
    <row r="107" spans="1:23">
      <c r="A107" s="3595"/>
      <c r="B107" s="2279">
        <v>6</v>
      </c>
      <c r="C107" s="2280">
        <f>0.7608/C101</f>
        <v>0.30432000000000003</v>
      </c>
      <c r="D107" s="2280">
        <f>0.7608/D101</f>
        <v>0.30432000000000003</v>
      </c>
      <c r="E107" s="2280">
        <f>0.6482/E101</f>
        <v>0.25928000000000001</v>
      </c>
      <c r="F107" s="2280">
        <f>0.6482/F101</f>
        <v>0.25928000000000001</v>
      </c>
      <c r="G107" s="2280">
        <f>0.6482/G101</f>
        <v>0.25928000000000001</v>
      </c>
      <c r="H107" s="2280">
        <f>0.6482/H101</f>
        <v>0.25928000000000001</v>
      </c>
      <c r="I107" s="2280">
        <f>0.6482/I101</f>
        <v>0.25928000000000001</v>
      </c>
      <c r="J107" s="2280">
        <f>0.4525/J101</f>
        <v>0.18099999999999999</v>
      </c>
      <c r="K107" s="2280">
        <f>0.4525/K101</f>
        <v>0.18099999999999999</v>
      </c>
      <c r="L107" s="2280">
        <f>0.4525/L101</f>
        <v>0.18099999999999999</v>
      </c>
      <c r="M107" s="2280">
        <f>0.4525/M101</f>
        <v>0.18099999999999999</v>
      </c>
      <c r="N107" s="2280">
        <f>0.4525/N101</f>
        <v>0.18099999999999999</v>
      </c>
      <c r="Q107" s="3028"/>
      <c r="R107" s="3028"/>
      <c r="S107" s="3028"/>
      <c r="T107" s="3028"/>
      <c r="U107" s="3028"/>
      <c r="V107" s="3028"/>
      <c r="W107" s="3028"/>
    </row>
    <row r="108" spans="1:23">
      <c r="A108" s="3595"/>
      <c r="B108" s="3597" t="s">
        <v>2626</v>
      </c>
      <c r="C108" s="2281">
        <f>C99</f>
        <v>0</v>
      </c>
      <c r="D108" s="2281">
        <f t="shared" ref="D108:N108" si="33">D99</f>
        <v>0</v>
      </c>
      <c r="E108" s="2281">
        <f t="shared" si="33"/>
        <v>0</v>
      </c>
      <c r="F108" s="2281">
        <f t="shared" si="33"/>
        <v>0</v>
      </c>
      <c r="G108" s="2281">
        <f t="shared" si="33"/>
        <v>0</v>
      </c>
      <c r="H108" s="2281">
        <f t="shared" si="33"/>
        <v>0</v>
      </c>
      <c r="I108" s="2281">
        <f t="shared" si="33"/>
        <v>0</v>
      </c>
      <c r="J108" s="2281">
        <f t="shared" si="33"/>
        <v>0</v>
      </c>
      <c r="K108" s="2281">
        <f t="shared" si="33"/>
        <v>0</v>
      </c>
      <c r="L108" s="2281">
        <f t="shared" si="33"/>
        <v>0</v>
      </c>
      <c r="M108" s="2281">
        <f t="shared" si="33"/>
        <v>0</v>
      </c>
      <c r="N108" s="2281">
        <f t="shared" si="33"/>
        <v>0</v>
      </c>
      <c r="Q108" s="3028"/>
      <c r="R108" s="3028"/>
      <c r="S108" s="3028"/>
      <c r="T108" s="3028"/>
      <c r="U108" s="3028"/>
      <c r="V108" s="3028"/>
      <c r="W108" s="3028"/>
    </row>
    <row r="109" spans="1:23">
      <c r="A109" s="3596"/>
      <c r="B109" s="3598"/>
      <c r="C109" s="2282">
        <f>(-0.163*(C108^2)-0.59*C108+7617)*(10^(-4))/C101</f>
        <v>0.30468000000000001</v>
      </c>
      <c r="D109" s="2282">
        <f>(-0.163*(D108^2)-0.59*D108+7617)*(10^(-4))/D101</f>
        <v>0.30468000000000001</v>
      </c>
      <c r="E109" s="2282">
        <f>(-0.161*(E108^2)-7.509*E108+6533)*(10^(-4))/E101</f>
        <v>0.26132</v>
      </c>
      <c r="F109" s="2282">
        <f>(-0.161*(F108^2)-7.509*F108+6533)*(10^(-4))/F101</f>
        <v>0.26132</v>
      </c>
      <c r="G109" s="2282">
        <f>(-0.161*(G108^2)-7.509*G108+6533)*(10^(-4))/G101</f>
        <v>0.26132</v>
      </c>
      <c r="H109" s="2282">
        <f>(-0.161*(H108^2)-7.509*H108+6533)*(10^(-4))/H101</f>
        <v>0.26132</v>
      </c>
      <c r="I109" s="2282">
        <f>(-0.161*(I108^2)-7.509*I108+6533)*(10^(-4))/I101</f>
        <v>0.26132</v>
      </c>
      <c r="J109" s="2282">
        <f>(-0.214*(J108^2)-21.991*J108+4665)*(10^(-4))/J101</f>
        <v>0.18660000000000002</v>
      </c>
      <c r="K109" s="2282">
        <f>(-0.214*(K108^2)-21.991*K108+4665)*(10^(-4))/K101</f>
        <v>0.18660000000000002</v>
      </c>
      <c r="L109" s="2282">
        <f>(-0.214*(L108^2)-21.991*L108+4665)*(10^(-4))/L101</f>
        <v>0.18660000000000002</v>
      </c>
      <c r="M109" s="2282">
        <f>(-0.214*(M108^2)-21.991*M108+4665)*(10^(-4))/M101</f>
        <v>0.18660000000000002</v>
      </c>
      <c r="N109" s="2282">
        <f>(-0.214*(N108^2)-21.991*N108+4665)*(10^(-4))/N101</f>
        <v>0.18660000000000002</v>
      </c>
      <c r="Q109" s="3028"/>
      <c r="R109" s="3028"/>
      <c r="S109" s="3028"/>
      <c r="T109" s="3028"/>
      <c r="U109" s="3028"/>
      <c r="V109" s="3028"/>
      <c r="W109" s="3028"/>
    </row>
    <row r="110" spans="1:23">
      <c r="A110" s="3592" t="s">
        <v>2627</v>
      </c>
      <c r="B110" s="3592"/>
      <c r="C110" s="3592"/>
      <c r="D110" s="3592"/>
      <c r="E110" s="3592"/>
      <c r="F110" s="3592"/>
      <c r="G110" s="3592"/>
      <c r="H110" s="3592"/>
      <c r="I110" s="3592"/>
      <c r="J110" s="3592"/>
      <c r="K110" s="2050"/>
      <c r="L110" s="2050"/>
      <c r="M110" s="2050"/>
      <c r="N110" s="2050"/>
      <c r="Q110" s="3028"/>
      <c r="R110" s="3028"/>
      <c r="S110" s="3028"/>
      <c r="T110" s="3028"/>
      <c r="U110" s="3028"/>
      <c r="V110" s="3028"/>
      <c r="W110" s="3028"/>
    </row>
    <row r="112" spans="1:23" ht="13.5" thickBot="1"/>
    <row r="113" spans="1:13" ht="25.5" thickBot="1">
      <c r="A113" s="2285" t="s">
        <v>2628</v>
      </c>
      <c r="B113" s="2286">
        <f>G3</f>
        <v>2.5</v>
      </c>
      <c r="C113" s="2287" t="s">
        <v>2629</v>
      </c>
      <c r="D113" s="2288">
        <f>SUMPRODUCT((A115:A118=F113)*(B114:M114=H113)*B115:M118)</f>
        <v>0.82420000000000004</v>
      </c>
      <c r="E113" s="1572" t="s">
        <v>2515</v>
      </c>
      <c r="F113" s="2289" t="str">
        <f>E2</f>
        <v>办公</v>
      </c>
      <c r="G113" s="1572" t="s">
        <v>2449</v>
      </c>
      <c r="H113" s="2289" t="str">
        <f>G2</f>
        <v>六级</v>
      </c>
      <c r="I113" s="1572"/>
      <c r="J113" s="2290"/>
      <c r="K113" s="2290"/>
      <c r="L113" s="2290"/>
      <c r="M113" s="2290"/>
    </row>
    <row r="114" spans="1:13">
      <c r="A114" s="2291"/>
      <c r="B114" s="2292" t="s">
        <v>2630</v>
      </c>
      <c r="C114" s="2292" t="s">
        <v>2631</v>
      </c>
      <c r="D114" s="2292" t="s">
        <v>2632</v>
      </c>
      <c r="E114" s="2293" t="s">
        <v>2633</v>
      </c>
      <c r="F114" s="2293" t="s">
        <v>2634</v>
      </c>
      <c r="G114" s="2293" t="s">
        <v>2635</v>
      </c>
      <c r="H114" s="2294" t="s">
        <v>2636</v>
      </c>
      <c r="I114" s="2294" t="s">
        <v>2637</v>
      </c>
      <c r="J114" s="2295" t="s">
        <v>2638</v>
      </c>
      <c r="K114" s="2295" t="s">
        <v>2639</v>
      </c>
      <c r="L114" s="2295" t="s">
        <v>2640</v>
      </c>
      <c r="M114" s="2296" t="s">
        <v>2641</v>
      </c>
    </row>
    <row r="115" spans="1:13">
      <c r="A115" s="2297" t="s">
        <v>2516</v>
      </c>
      <c r="B115" s="2298">
        <f>ROUND(0.9335-0.0094*B113,4)</f>
        <v>0.91</v>
      </c>
      <c r="C115" s="2298">
        <f>B115</f>
        <v>0.91</v>
      </c>
      <c r="D115" s="2298">
        <f>ROUND(0.8331-0.0109*B113,4)</f>
        <v>0.80589999999999995</v>
      </c>
      <c r="E115" s="2298">
        <f>D115</f>
        <v>0.80589999999999995</v>
      </c>
      <c r="F115" s="2298">
        <f>E115</f>
        <v>0.80589999999999995</v>
      </c>
      <c r="G115" s="2298">
        <f>F115</f>
        <v>0.80589999999999995</v>
      </c>
      <c r="H115" s="2298">
        <f>G115</f>
        <v>0.80589999999999995</v>
      </c>
      <c r="I115" s="2298">
        <f>ROUND(0.689-0.0155*B113,4)</f>
        <v>0.65029999999999999</v>
      </c>
      <c r="J115" s="2298">
        <f t="shared" ref="J115:M118" si="34">I115</f>
        <v>0.65029999999999999</v>
      </c>
      <c r="K115" s="2298">
        <f t="shared" si="34"/>
        <v>0.65029999999999999</v>
      </c>
      <c r="L115" s="2298">
        <f t="shared" si="34"/>
        <v>0.65029999999999999</v>
      </c>
      <c r="M115" s="2299">
        <f t="shared" si="34"/>
        <v>0.65029999999999999</v>
      </c>
    </row>
    <row r="116" spans="1:13">
      <c r="A116" s="2297" t="s">
        <v>2517</v>
      </c>
      <c r="B116" s="2298">
        <f>ROUND(0.949-0.012*B113,4)</f>
        <v>0.91900000000000004</v>
      </c>
      <c r="C116" s="2298">
        <f>B116</f>
        <v>0.91900000000000004</v>
      </c>
      <c r="D116" s="2298">
        <f>ROUND(0.8567-0.013*B113,4)</f>
        <v>0.82420000000000004</v>
      </c>
      <c r="E116" s="2298">
        <f t="shared" ref="E116:H117" si="35">D116</f>
        <v>0.82420000000000004</v>
      </c>
      <c r="F116" s="2298">
        <f t="shared" si="35"/>
        <v>0.82420000000000004</v>
      </c>
      <c r="G116" s="2298">
        <f t="shared" si="35"/>
        <v>0.82420000000000004</v>
      </c>
      <c r="H116" s="2298">
        <f t="shared" si="35"/>
        <v>0.82420000000000004</v>
      </c>
      <c r="I116" s="2298">
        <f>ROUND(0.7694-0.014*B113,4)</f>
        <v>0.73440000000000005</v>
      </c>
      <c r="J116" s="2298">
        <f t="shared" si="34"/>
        <v>0.73440000000000005</v>
      </c>
      <c r="K116" s="2298">
        <f t="shared" si="34"/>
        <v>0.73440000000000005</v>
      </c>
      <c r="L116" s="2298">
        <f t="shared" si="34"/>
        <v>0.73440000000000005</v>
      </c>
      <c r="M116" s="2299">
        <f t="shared" si="34"/>
        <v>0.73440000000000005</v>
      </c>
    </row>
    <row r="117" spans="1:13">
      <c r="A117" s="2297" t="s">
        <v>2518</v>
      </c>
      <c r="B117" s="2298">
        <f>ROUND(0.8808-0.006*B113,4)</f>
        <v>0.86580000000000001</v>
      </c>
      <c r="C117" s="2298">
        <f>B117</f>
        <v>0.86580000000000001</v>
      </c>
      <c r="D117" s="2298">
        <f>ROUND(0.8748-0.008*B113,4)</f>
        <v>0.8548</v>
      </c>
      <c r="E117" s="2298">
        <f t="shared" si="35"/>
        <v>0.8548</v>
      </c>
      <c r="F117" s="2298">
        <f t="shared" si="35"/>
        <v>0.8548</v>
      </c>
      <c r="G117" s="2298">
        <f t="shared" si="35"/>
        <v>0.8548</v>
      </c>
      <c r="H117" s="2298">
        <f t="shared" si="35"/>
        <v>0.8548</v>
      </c>
      <c r="I117" s="2298">
        <f>ROUND(0.7412-0.0095*B113,4)</f>
        <v>0.71750000000000003</v>
      </c>
      <c r="J117" s="2298">
        <f t="shared" si="34"/>
        <v>0.71750000000000003</v>
      </c>
      <c r="K117" s="2298">
        <f t="shared" si="34"/>
        <v>0.71750000000000003</v>
      </c>
      <c r="L117" s="2298">
        <f t="shared" si="34"/>
        <v>0.71750000000000003</v>
      </c>
      <c r="M117" s="2299">
        <f t="shared" si="34"/>
        <v>0.71750000000000003</v>
      </c>
    </row>
    <row r="118" spans="1:13" ht="13.5" thickBot="1">
      <c r="A118" s="2300" t="s">
        <v>2519</v>
      </c>
      <c r="B118" s="2301">
        <f>ROUND(0.7275-0.01*B113,4)</f>
        <v>0.70250000000000001</v>
      </c>
      <c r="C118" s="2301">
        <f>B118</f>
        <v>0.70250000000000001</v>
      </c>
      <c r="D118" s="2301">
        <f>ROUND(0.7043-0.012*B113,4)</f>
        <v>0.67430000000000001</v>
      </c>
      <c r="E118" s="2301">
        <f>D118</f>
        <v>0.67430000000000001</v>
      </c>
      <c r="F118" s="2301">
        <f>E118</f>
        <v>0.67430000000000001</v>
      </c>
      <c r="G118" s="2301">
        <f>ROUND(0.6299-0.0122*B113,4)</f>
        <v>0.59940000000000004</v>
      </c>
      <c r="H118" s="2301">
        <f>G118</f>
        <v>0.59940000000000004</v>
      </c>
      <c r="I118" s="2301">
        <f>ROUND(0.5667-0.0136*B113,4)</f>
        <v>0.53269999999999995</v>
      </c>
      <c r="J118" s="2301">
        <f t="shared" si="34"/>
        <v>0.53269999999999995</v>
      </c>
      <c r="K118" s="2301">
        <f t="shared" si="34"/>
        <v>0.53269999999999995</v>
      </c>
      <c r="L118" s="2301">
        <f t="shared" si="34"/>
        <v>0.53269999999999995</v>
      </c>
      <c r="M118" s="2302">
        <f t="shared" si="34"/>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45" priority="5" stopIfTrue="1" operator="notEqual">
      <formula>"——"</formula>
    </cfRule>
  </conditionalFormatting>
  <conditionalFormatting sqref="F59">
    <cfRule type="cellIs" dxfId="144" priority="4" stopIfTrue="1" operator="notEqual">
      <formula>"——"</formula>
    </cfRule>
  </conditionalFormatting>
  <conditionalFormatting sqref="F70">
    <cfRule type="cellIs" dxfId="143" priority="3" stopIfTrue="1" operator="notEqual">
      <formula>"——"</formula>
    </cfRule>
  </conditionalFormatting>
  <conditionalFormatting sqref="F81">
    <cfRule type="cellIs" dxfId="14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25" zoomScale="70" zoomScaleNormal="60" zoomScaleSheetLayoutView="70" workbookViewId="0">
      <selection activeCell="J53" sqref="J5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5" t="s">
        <v>2998</v>
      </c>
      <c r="E1" s="1596" t="s">
        <v>1184</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145</v>
      </c>
      <c r="C2" s="1489"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23031</v>
      </c>
      <c r="C3" s="1489"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72525</v>
      </c>
      <c r="D5" s="1603" t="s">
        <v>2668</v>
      </c>
      <c r="E5" s="927"/>
      <c r="F5" s="1056"/>
      <c r="G5" s="951"/>
      <c r="H5" s="232">
        <v>1</v>
      </c>
      <c r="I5" s="233" t="s">
        <v>1955</v>
      </c>
      <c r="J5" s="234">
        <f ca="1">J6+J10+J12</f>
        <v>0</v>
      </c>
      <c r="K5" s="1490" t="s">
        <v>1956</v>
      </c>
      <c r="L5" s="927"/>
      <c r="M5" s="1056"/>
    </row>
    <row r="6" spans="1:37" ht="18" customHeight="1">
      <c r="A6" s="1057" t="s">
        <v>1957</v>
      </c>
      <c r="B6" s="1412" t="s">
        <v>1958</v>
      </c>
      <c r="C6" s="234">
        <f>ROUND(F6*F8*F7*(1-F9),0)</f>
        <v>72434</v>
      </c>
      <c r="D6" s="36" t="s">
        <v>2643</v>
      </c>
      <c r="E6" s="235" t="s">
        <v>1959</v>
      </c>
      <c r="F6" s="236">
        <f>'数据-取费表'!B30</f>
        <v>3.5</v>
      </c>
      <c r="G6" s="951"/>
      <c r="H6" s="1057" t="s">
        <v>1957</v>
      </c>
      <c r="I6" s="1412" t="s">
        <v>1958</v>
      </c>
      <c r="J6" s="234">
        <f>ROUND(M6*M8*M7*(1-M9),0)</f>
        <v>0</v>
      </c>
      <c r="K6" s="36" t="s">
        <v>2643</v>
      </c>
      <c r="L6" s="235" t="s">
        <v>1959</v>
      </c>
      <c r="M6" s="236">
        <f>'数据-取费表'!B37</f>
        <v>0</v>
      </c>
    </row>
    <row r="7" spans="1:37" ht="18" customHeight="1">
      <c r="A7" s="1090"/>
      <c r="B7" s="238"/>
      <c r="C7" s="239"/>
      <c r="D7" s="240"/>
      <c r="E7" s="235" t="s">
        <v>1960</v>
      </c>
      <c r="F7" s="236">
        <f>IF('数据-取费表'!B42="",IF(D1="仅计算典型户型",'数据-取费表'!E5,'数据-取费表'!B5),'数据-取费表'!B42)</f>
        <v>63</v>
      </c>
      <c r="G7" s="951"/>
      <c r="H7" s="237"/>
      <c r="I7" s="238"/>
      <c r="J7" s="239"/>
      <c r="K7" s="240"/>
      <c r="L7" s="235" t="s">
        <v>1960</v>
      </c>
      <c r="M7" s="236">
        <f>IF('数据-取费表'!B42="",IF(D1="仅计算典型户型",'数据-取费表'!E5,'数据-取费表'!B5),'数据-取费表'!B42)</f>
        <v>63</v>
      </c>
    </row>
    <row r="8" spans="1:37" ht="18" customHeight="1">
      <c r="A8" s="1090"/>
      <c r="B8" s="238"/>
      <c r="C8" s="239"/>
      <c r="D8" s="240"/>
      <c r="E8" s="235" t="s">
        <v>1961</v>
      </c>
      <c r="F8" s="236">
        <f>'数据-取费表'!B43</f>
        <v>365</v>
      </c>
      <c r="G8" s="951"/>
      <c r="H8" s="237"/>
      <c r="I8" s="238"/>
      <c r="J8" s="239"/>
      <c r="K8" s="240"/>
      <c r="L8" s="235" t="s">
        <v>1962</v>
      </c>
      <c r="M8" s="236">
        <f>'数据-取费表'!B43</f>
        <v>365</v>
      </c>
    </row>
    <row r="9" spans="1:37" ht="18" customHeight="1">
      <c r="A9" s="1090"/>
      <c r="B9" s="238"/>
      <c r="C9" s="239"/>
      <c r="D9" s="244"/>
      <c r="E9" s="235" t="s">
        <v>1963</v>
      </c>
      <c r="F9" s="245">
        <f>'数据-取费表'!B33</f>
        <v>0.1</v>
      </c>
      <c r="G9" s="951"/>
      <c r="H9" s="237"/>
      <c r="I9" s="238"/>
      <c r="J9" s="1059"/>
      <c r="K9" s="43"/>
      <c r="L9" s="246" t="s">
        <v>1963</v>
      </c>
      <c r="M9" s="245">
        <f>'数据-取费表'!B39</f>
        <v>0</v>
      </c>
    </row>
    <row r="10" spans="1:37" ht="18" customHeight="1">
      <c r="A10" s="1057" t="s">
        <v>1964</v>
      </c>
      <c r="B10" s="1491" t="s">
        <v>1965</v>
      </c>
      <c r="C10" s="1058">
        <f ca="1">ROUND(IF(F10="押一",C6/12*F11,IF(F10="押二",C6/12*2*F11,IF(F10="押三",C6/12*3*F11,C11*F11))),0)</f>
        <v>91</v>
      </c>
      <c r="D10" s="1492" t="s">
        <v>2649</v>
      </c>
      <c r="E10" s="246" t="s">
        <v>1966</v>
      </c>
      <c r="F10" s="1493" t="s">
        <v>1967</v>
      </c>
      <c r="G10" s="951"/>
      <c r="H10" s="1057" t="s">
        <v>1964</v>
      </c>
      <c r="I10" s="1491" t="s">
        <v>1965</v>
      </c>
      <c r="J10" s="1058">
        <f ca="1">ROUND(IF(M10="押一",J6/12*M11,IF(M10="押二",J6/12*2*M11,IF(M10="押三",J6/12*3*M11,J11*M11))),0)</f>
        <v>0</v>
      </c>
      <c r="K10" s="36" t="s">
        <v>2649</v>
      </c>
      <c r="L10" s="246" t="s">
        <v>1966</v>
      </c>
      <c r="M10" s="1493"/>
    </row>
    <row r="11" spans="1:37" s="257" customFormat="1" ht="18" customHeight="1">
      <c r="A11" s="263"/>
      <c r="B11" s="1494" t="s">
        <v>1968</v>
      </c>
      <c r="C11" s="1062"/>
      <c r="D11" s="240"/>
      <c r="E11" s="246" t="s">
        <v>1969</v>
      </c>
      <c r="F11" s="247">
        <f ca="1">'数据-取费表'!B31</f>
        <v>1.4999999999999999E-2</v>
      </c>
      <c r="G11" s="952"/>
      <c r="H11" s="241"/>
      <c r="I11" s="1494" t="s">
        <v>1970</v>
      </c>
      <c r="J11" s="1062"/>
      <c r="K11" s="240"/>
      <c r="L11" s="246" t="s">
        <v>1969</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1971</v>
      </c>
      <c r="B12" s="1495" t="s">
        <v>1972</v>
      </c>
      <c r="C12" s="1068"/>
      <c r="D12" s="1496"/>
      <c r="E12" s="1074"/>
      <c r="F12" s="1069"/>
      <c r="G12" s="951"/>
      <c r="H12" s="1067" t="s">
        <v>1971</v>
      </c>
      <c r="I12" s="1495" t="s">
        <v>1972</v>
      </c>
      <c r="J12" s="1068"/>
      <c r="K12" s="1084"/>
      <c r="L12" s="1074"/>
      <c r="M12" s="1085"/>
    </row>
    <row r="13" spans="1:37" s="257" customFormat="1" ht="18" customHeight="1" thickTop="1">
      <c r="A13" s="1063">
        <v>2</v>
      </c>
      <c r="B13" s="1064" t="s">
        <v>1973</v>
      </c>
      <c r="C13" s="243">
        <f ca="1">ROUND(C29*F13,0)</f>
        <v>302140</v>
      </c>
      <c r="D13" s="1065" t="s">
        <v>1974</v>
      </c>
      <c r="E13" s="1065" t="s">
        <v>1975</v>
      </c>
      <c r="F13" s="1066">
        <f>'数据-取费表'!E20</f>
        <v>0.83</v>
      </c>
      <c r="G13" s="952"/>
      <c r="H13" s="1063">
        <v>2</v>
      </c>
      <c r="I13" s="1064" t="s">
        <v>1973</v>
      </c>
      <c r="J13" s="1059">
        <f ca="1">ROUND(J14*J15,0)</f>
        <v>0</v>
      </c>
      <c r="K13" s="1070" t="s">
        <v>1974</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252000</v>
      </c>
      <c r="D14" s="1298" t="s">
        <v>1978</v>
      </c>
      <c r="E14" s="1299"/>
      <c r="F14" s="799"/>
      <c r="G14" s="952"/>
      <c r="H14" s="253" t="s">
        <v>1957</v>
      </c>
      <c r="I14" s="235" t="s">
        <v>1979</v>
      </c>
      <c r="J14" s="13">
        <f ca="1">C29</f>
        <v>364024</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7560</v>
      </c>
      <c r="D15" s="255" t="s">
        <v>1982</v>
      </c>
      <c r="E15" s="255" t="s">
        <v>1983</v>
      </c>
      <c r="F15" s="256">
        <f>'数据-取费表'!E21</f>
        <v>0.03</v>
      </c>
      <c r="G15" s="951"/>
      <c r="H15" s="1073" t="s">
        <v>1984</v>
      </c>
      <c r="I15" s="1074" t="s">
        <v>1985</v>
      </c>
      <c r="J15" s="1086">
        <f>'数据-取费表'!B40</f>
        <v>0</v>
      </c>
      <c r="K15" s="1087"/>
      <c r="L15" s="1088"/>
      <c r="M15" s="1089"/>
    </row>
    <row r="16" spans="1:37" s="257" customFormat="1" ht="18" customHeight="1" thickTop="1">
      <c r="A16" s="253" t="s">
        <v>1986</v>
      </c>
      <c r="B16" s="235" t="s">
        <v>1987</v>
      </c>
      <c r="C16" s="13">
        <f>ROUND(C14*F16,0)</f>
        <v>0</v>
      </c>
      <c r="D16" s="235" t="s">
        <v>1982</v>
      </c>
      <c r="E16" s="235" t="s">
        <v>1983</v>
      </c>
      <c r="F16" s="258">
        <f>IF('数据-取费表'!B10="住宅",'数据-取费表'!E22,0)</f>
        <v>0</v>
      </c>
      <c r="G16" s="952"/>
      <c r="H16" s="1063" t="s">
        <v>14</v>
      </c>
      <c r="I16" s="1064" t="s">
        <v>1988</v>
      </c>
      <c r="J16" s="243">
        <f ca="1">ROUND(J17+J22+J23+J24,0)</f>
        <v>5460</v>
      </c>
      <c r="K16" s="1070" t="s">
        <v>1989</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12600</v>
      </c>
      <c r="D17" s="235" t="s">
        <v>1992</v>
      </c>
      <c r="E17" s="235" t="s">
        <v>1993</v>
      </c>
      <c r="F17" s="15">
        <f>'数据-取费表'!E23</f>
        <v>200</v>
      </c>
      <c r="G17" s="952"/>
      <c r="H17" s="253" t="s">
        <v>1994</v>
      </c>
      <c r="I17" s="235" t="s">
        <v>1995</v>
      </c>
      <c r="J17" s="2797">
        <f>ROUND(IF(AND(项目基本情况!B7="自然人",项目基本情况!B6="北京市"),J6*M17/(1+'数据-取费表'!F30),J18+J19+J20),0)</f>
        <v>0</v>
      </c>
      <c r="K17" s="1298" t="s">
        <v>1996</v>
      </c>
      <c r="L17" s="1301" t="s">
        <v>1997</v>
      </c>
      <c r="M17" s="2796">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3780</v>
      </c>
      <c r="D18" s="235" t="s">
        <v>1982</v>
      </c>
      <c r="E18" s="235" t="s">
        <v>1983</v>
      </c>
      <c r="F18" s="258">
        <f>'数据-取费表'!E24</f>
        <v>1.4999999999999999E-2</v>
      </c>
      <c r="G18" s="951"/>
      <c r="H18" s="253" t="s">
        <v>2000</v>
      </c>
      <c r="I18" s="235" t="s">
        <v>2001</v>
      </c>
      <c r="J18" s="13" t="str">
        <f>IF(项目基本情况!B7="自然人","——",ROUND(J6*M18/(1+'数据-取费表'!F30),0))</f>
        <v>——</v>
      </c>
      <c r="K18" s="1301" t="s">
        <v>2670</v>
      </c>
      <c r="L18" s="235" t="s">
        <v>1983</v>
      </c>
      <c r="M18" s="258">
        <f>'数据-取费表'!E29</f>
        <v>5.6000000000000001E-2</v>
      </c>
    </row>
    <row r="19" spans="1:37" s="257" customFormat="1" ht="18" customHeight="1">
      <c r="A19" s="253" t="s">
        <v>1994</v>
      </c>
      <c r="B19" s="235" t="s">
        <v>2002</v>
      </c>
      <c r="C19" s="13">
        <f>SUM(C14:C18)</f>
        <v>275940</v>
      </c>
      <c r="D19" s="33" t="s">
        <v>2003</v>
      </c>
      <c r="E19" s="1303"/>
      <c r="F19" s="15"/>
      <c r="G19" s="952"/>
      <c r="H19" s="253" t="s">
        <v>1980</v>
      </c>
      <c r="I19" s="235" t="s">
        <v>2004</v>
      </c>
      <c r="J19" s="13" t="str">
        <f>IF(项目基本情况!B7="自然人","——",IF(K19="按租金收入计税",ROUND(J6*M19/(1+'数据-取费表'!F30),0),ROUND(C29*M19*0.7,0)))</f>
        <v>——</v>
      </c>
      <c r="K19" s="1406"/>
      <c r="L19" s="235" t="s">
        <v>1983</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5519</v>
      </c>
      <c r="D20" s="259" t="s">
        <v>2007</v>
      </c>
      <c r="E20" s="235" t="s">
        <v>2008</v>
      </c>
      <c r="F20" s="258">
        <f>'数据-取费表'!E25</f>
        <v>0.02</v>
      </c>
      <c r="G20" s="952"/>
      <c r="H20" s="253" t="s">
        <v>1986</v>
      </c>
      <c r="I20" s="36" t="s">
        <v>2009</v>
      </c>
      <c r="J20" s="14" t="str">
        <f>IF(项目基本情况!B7="自然人","——",ROUND(M20*M21,0))</f>
        <v>——</v>
      </c>
      <c r="K20" s="261" t="s">
        <v>2010</v>
      </c>
      <c r="L20" s="235" t="s">
        <v>2011</v>
      </c>
      <c r="M20" s="262">
        <f>'数据-取费表'!E40</f>
        <v>1.5</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3"/>
      <c r="F22" s="15"/>
      <c r="G22" s="951"/>
      <c r="H22" s="253" t="s">
        <v>1984</v>
      </c>
      <c r="I22" s="235" t="s">
        <v>2019</v>
      </c>
      <c r="J22" s="13">
        <f ca="1">ROUND(J14*M22,0)</f>
        <v>5460</v>
      </c>
      <c r="K22" s="1301"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12243</v>
      </c>
      <c r="D23" s="1402"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1" t="s">
        <v>2024</v>
      </c>
      <c r="L23" s="235" t="s">
        <v>2025</v>
      </c>
      <c r="M23" s="266">
        <f>'数据-取费表'!B46</f>
        <v>1.5E-3</v>
      </c>
    </row>
    <row r="24" spans="1:37" s="257" customFormat="1" ht="18" customHeight="1" thickBot="1">
      <c r="A24" s="253" t="s">
        <v>2026</v>
      </c>
      <c r="B24" s="235" t="s">
        <v>2027</v>
      </c>
      <c r="C24" s="13">
        <f ca="1">ROUND(IF('数据-取费表'!B24&lt;=1,F21*F24*F23/2,F21*(POWER((1+F24),F23/2)-1)),4)</f>
        <v>8.9999999999999998E-4</v>
      </c>
      <c r="D24" s="1402" t="str">
        <f>IF(F23&lt;=1,"销售费用×利率×(建设周期÷2)","销售费用×((1+利率)^(建设周期÷2)-1)")</f>
        <v>销售费用×((1+利率)^(建设周期÷2)-1)</v>
      </c>
      <c r="E24" s="235" t="s">
        <v>2028</v>
      </c>
      <c r="F24" s="267">
        <f ca="1">'数据-取费表'!E27</f>
        <v>4.3499999999999997E-2</v>
      </c>
      <c r="G24" s="952"/>
      <c r="H24" s="1073" t="s">
        <v>2017</v>
      </c>
      <c r="I24" s="1074" t="s">
        <v>2006</v>
      </c>
      <c r="J24" s="1075">
        <f ca="1">ROUND(J5*M24,0)</f>
        <v>0</v>
      </c>
      <c r="K24" s="1076" t="s">
        <v>2029</v>
      </c>
      <c r="L24" s="1074" t="s">
        <v>2025</v>
      </c>
      <c r="M24" s="1069">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3"/>
      <c r="F25" s="15"/>
      <c r="G25" s="952"/>
      <c r="H25" s="1063" t="s">
        <v>22</v>
      </c>
      <c r="I25" s="1078" t="s">
        <v>2033</v>
      </c>
      <c r="J25" s="243">
        <f ca="1">J5-J16</f>
        <v>-5460</v>
      </c>
      <c r="K25" s="1079" t="s">
        <v>2034</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42219</v>
      </c>
      <c r="D26" s="259" t="s">
        <v>2036</v>
      </c>
      <c r="E26" s="246" t="s">
        <v>2037</v>
      </c>
      <c r="F26" s="245">
        <f>'数据-取费表'!E28</f>
        <v>0.15</v>
      </c>
      <c r="G26" s="652"/>
      <c r="H26" s="232" t="s">
        <v>23</v>
      </c>
      <c r="I26" s="233" t="s">
        <v>2038</v>
      </c>
      <c r="J26" s="234">
        <f ca="1">IF(J5&lt;&gt;0,ROUND(J25*(1-((1+M28)/(1+M26))^M27)/(M26-M28),0),0)</f>
        <v>0</v>
      </c>
      <c r="K26" s="261" t="s">
        <v>2039</v>
      </c>
      <c r="L26" s="235" t="s">
        <v>2040</v>
      </c>
      <c r="M26" s="245">
        <f>'数据-取费表'!B16</f>
        <v>5.5E-2</v>
      </c>
    </row>
    <row r="27" spans="1:37" ht="18" customHeight="1">
      <c r="A27" s="253" t="s">
        <v>2041</v>
      </c>
      <c r="B27" s="235" t="s">
        <v>2042</v>
      </c>
      <c r="C27" s="13">
        <f>ROUND(F21*F26,4)</f>
        <v>3.0000000000000001E-3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3" t="s">
        <v>2050</v>
      </c>
      <c r="B29" s="1074" t="s">
        <v>2051</v>
      </c>
      <c r="C29" s="1075">
        <f ca="1">ROUND((C19+C20+C23+C26)/(1-F21-C24-C27-C28),0)</f>
        <v>364024</v>
      </c>
      <c r="D29" s="1076"/>
      <c r="E29" s="1074"/>
      <c r="F29" s="1077"/>
      <c r="G29" s="652"/>
      <c r="H29" s="271" t="s">
        <v>24</v>
      </c>
      <c r="I29" s="272" t="s">
        <v>2052</v>
      </c>
      <c r="J29" s="273">
        <f ca="1">ROUND(J26/(1+F40)^F41,0)</f>
        <v>0</v>
      </c>
      <c r="K29" s="274" t="s">
        <v>2053</v>
      </c>
      <c r="L29" s="275"/>
      <c r="M29" s="276">
        <f>IF(D1="仅计算典型户型",'数据-取费表'!E5,'数据-取费表'!B5)</f>
        <v>63</v>
      </c>
    </row>
    <row r="30" spans="1:37" ht="18" customHeight="1" thickTop="1">
      <c r="A30" s="1063" t="s">
        <v>14</v>
      </c>
      <c r="B30" s="1064" t="s">
        <v>2054</v>
      </c>
      <c r="C30" s="243">
        <f ca="1">ROUND(C31+C36+C37+C38,0)</f>
        <v>12193</v>
      </c>
      <c r="D30" s="1070" t="s">
        <v>2055</v>
      </c>
      <c r="E30" s="1071"/>
      <c r="F30" s="1072"/>
      <c r="G30" s="652"/>
      <c r="H30" s="931"/>
      <c r="I30" s="932"/>
      <c r="J30" s="933"/>
      <c r="K30" s="934"/>
      <c r="L30" s="935"/>
      <c r="M30" s="936"/>
    </row>
    <row r="31" spans="1:37" ht="18" customHeight="1">
      <c r="A31" s="253" t="s">
        <v>1957</v>
      </c>
      <c r="B31" s="235" t="s">
        <v>1995</v>
      </c>
      <c r="C31" s="2797">
        <f>ROUND(IF(AND(项目基本情况!B7="自然人",项目基本情况!B6="北京市"),C6*F31/(1+'数据-取费表'!F30),C32+C33+C34),0)</f>
        <v>4829</v>
      </c>
      <c r="D31" s="1298" t="s">
        <v>2056</v>
      </c>
      <c r="E31" s="1301" t="s">
        <v>2057</v>
      </c>
      <c r="F31" s="2796">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1976</v>
      </c>
      <c r="B32" s="235" t="s">
        <v>2058</v>
      </c>
      <c r="C32" s="13" t="str">
        <f>IF(项目基本情况!B7="自然人","——",ROUND(C6*F32/(1+'数据-取费表'!F30),0))</f>
        <v>——</v>
      </c>
      <c r="D32" s="1301" t="s">
        <v>2669</v>
      </c>
      <c r="E32" s="235" t="s">
        <v>2008</v>
      </c>
      <c r="F32" s="267">
        <f>'数据-取费表'!E29</f>
        <v>5.6000000000000001E-2</v>
      </c>
      <c r="G32" s="652"/>
      <c r="H32" s="937"/>
      <c r="I32" s="938"/>
      <c r="J32" s="939"/>
      <c r="K32" s="940"/>
      <c r="L32" s="941"/>
      <c r="M32" s="942"/>
    </row>
    <row r="33" spans="1:18" ht="18" customHeight="1">
      <c r="A33" s="253" t="s">
        <v>1980</v>
      </c>
      <c r="B33" s="235" t="s">
        <v>2004</v>
      </c>
      <c r="C33" s="13" t="str">
        <f>IF(项目基本情况!B7="自然人","——",IF(D33="按租金收入计税",ROUND(C6*F33/(1+'数据-取费表'!F30),0),IF(D33="按房产原值计税",ROUND(C29*F33*0.7,0),'数据-取费表'!B44)))</f>
        <v>——</v>
      </c>
      <c r="D33" s="1406" t="s">
        <v>2830</v>
      </c>
      <c r="E33" s="235" t="s">
        <v>1983</v>
      </c>
      <c r="F33" s="258">
        <f>IF(D33="按票据","——",IF(D33="按租金收入计税",'数据-取费表'!E39,'数据-取费表'!E38))</f>
        <v>0.12</v>
      </c>
      <c r="G33" s="652"/>
      <c r="H33" s="943"/>
      <c r="I33" s="278" t="s">
        <v>2060</v>
      </c>
      <c r="J33" s="279"/>
      <c r="K33" s="944"/>
      <c r="L33" s="943"/>
      <c r="M33" s="943"/>
    </row>
    <row r="34" spans="1:18" ht="18" customHeight="1">
      <c r="A34" s="1057" t="s">
        <v>1986</v>
      </c>
      <c r="B34" s="36" t="s">
        <v>2009</v>
      </c>
      <c r="C34" s="14" t="str">
        <f>IF(项目基本情况!B7="自然人","——",ROUND(F34*F35,0))</f>
        <v>——</v>
      </c>
      <c r="D34" s="261" t="s">
        <v>2010</v>
      </c>
      <c r="E34" s="235" t="s">
        <v>2011</v>
      </c>
      <c r="F34" s="262">
        <f>'数据-取费表'!E40</f>
        <v>1.5</v>
      </c>
      <c r="G34" s="652"/>
      <c r="H34" s="931"/>
      <c r="I34" s="280" t="s">
        <v>2061</v>
      </c>
      <c r="J34" s="281">
        <f ca="1">ROUND(C13*J35,0)</f>
        <v>0</v>
      </c>
      <c r="K34" s="945"/>
      <c r="L34" s="946"/>
      <c r="M34" s="946"/>
    </row>
    <row r="35" spans="1:18" ht="24.6" customHeight="1">
      <c r="A35" s="1061"/>
      <c r="B35" s="244"/>
      <c r="C35" s="17"/>
      <c r="D35" s="264"/>
      <c r="E35" s="235" t="s">
        <v>2016</v>
      </c>
      <c r="F35" s="236">
        <f>IF(D1="仅计算典型户型",'数据-取费表'!E6,'数据-取费表'!B6)</f>
        <v>0</v>
      </c>
      <c r="G35" s="652" t="s">
        <v>2758</v>
      </c>
      <c r="H35" s="931"/>
      <c r="I35" s="282" t="s">
        <v>2062</v>
      </c>
      <c r="J35" s="283">
        <f>'数据-取费表'!B18</f>
        <v>0</v>
      </c>
      <c r="K35" s="944"/>
      <c r="L35" s="943"/>
      <c r="M35" s="943"/>
    </row>
    <row r="36" spans="1:18" ht="18" customHeight="1">
      <c r="A36" s="1060" t="s">
        <v>1964</v>
      </c>
      <c r="B36" s="235" t="s">
        <v>2063</v>
      </c>
      <c r="C36" s="13">
        <f ca="1">ROUND(C29*F36,0)</f>
        <v>5460</v>
      </c>
      <c r="D36" s="1301" t="s">
        <v>2064</v>
      </c>
      <c r="E36" s="235" t="s">
        <v>2008</v>
      </c>
      <c r="F36" s="265">
        <f>'数据-取费表'!B45</f>
        <v>1.4999999999999999E-2</v>
      </c>
      <c r="G36" s="652"/>
      <c r="H36" s="943"/>
      <c r="I36" s="284" t="s">
        <v>2065</v>
      </c>
      <c r="J36" s="285"/>
      <c r="K36" s="947"/>
      <c r="L36" s="943"/>
      <c r="M36" s="943"/>
    </row>
    <row r="37" spans="1:18" ht="18" customHeight="1">
      <c r="A37" s="253" t="s">
        <v>2012</v>
      </c>
      <c r="B37" s="235" t="s">
        <v>2023</v>
      </c>
      <c r="C37" s="13">
        <f ca="1">ROUND(C13*F37,0)</f>
        <v>453</v>
      </c>
      <c r="D37" s="1301" t="s">
        <v>2024</v>
      </c>
      <c r="E37" s="235" t="s">
        <v>2025</v>
      </c>
      <c r="F37" s="266">
        <f>'数据-取费表'!B46</f>
        <v>1.5E-3</v>
      </c>
      <c r="G37" s="652"/>
      <c r="H37" s="943"/>
      <c r="I37" s="132" t="s">
        <v>2066</v>
      </c>
      <c r="J37" s="286"/>
      <c r="K37" s="947"/>
      <c r="L37" s="943"/>
      <c r="M37" s="943"/>
    </row>
    <row r="38" spans="1:18" ht="18" customHeight="1" thickBot="1">
      <c r="A38" s="1073" t="s">
        <v>2017</v>
      </c>
      <c r="B38" s="1074" t="s">
        <v>2006</v>
      </c>
      <c r="C38" s="1075">
        <f ca="1">ROUND(C5*F38,0)</f>
        <v>1451</v>
      </c>
      <c r="D38" s="1076" t="s">
        <v>2029</v>
      </c>
      <c r="E38" s="1074" t="s">
        <v>2025</v>
      </c>
      <c r="F38" s="1069">
        <f>'数据-取费表'!B47</f>
        <v>0.02</v>
      </c>
      <c r="G38" s="652"/>
      <c r="H38" s="943"/>
      <c r="I38" s="280" t="s">
        <v>2067</v>
      </c>
      <c r="J38" s="136">
        <f ca="1">ROUND(J34/C39,3)</f>
        <v>0</v>
      </c>
      <c r="K38" s="948"/>
      <c r="L38" s="943"/>
      <c r="M38" s="943"/>
    </row>
    <row r="39" spans="1:18" ht="18" customHeight="1" thickTop="1">
      <c r="A39" s="1063" t="s">
        <v>22</v>
      </c>
      <c r="B39" s="1078" t="s">
        <v>2068</v>
      </c>
      <c r="C39" s="243">
        <f ca="1">C5-C30</f>
        <v>60332</v>
      </c>
      <c r="D39" s="1079" t="s">
        <v>2069</v>
      </c>
      <c r="E39" s="1080"/>
      <c r="F39" s="1081"/>
      <c r="G39" s="652"/>
      <c r="H39" s="943"/>
      <c r="I39" s="280" t="s">
        <v>2070</v>
      </c>
      <c r="J39" s="136">
        <f ca="1">1-J38</f>
        <v>1</v>
      </c>
      <c r="K39" s="948"/>
      <c r="L39" s="943"/>
      <c r="M39" s="943"/>
    </row>
    <row r="40" spans="1:18" s="652" customFormat="1" ht="18" customHeight="1">
      <c r="A40" s="232" t="s">
        <v>23</v>
      </c>
      <c r="B40" s="233" t="s">
        <v>2071</v>
      </c>
      <c r="C40" s="234">
        <f ca="1">ROUND(C39*(1-((1+F42)/(1+F40))^F41)/(F40-F42),0)</f>
        <v>1443153</v>
      </c>
      <c r="D40" s="261" t="s">
        <v>2039</v>
      </c>
      <c r="E40" s="235" t="s">
        <v>2040</v>
      </c>
      <c r="F40" s="245">
        <f>'数据-取费表'!B16</f>
        <v>5.5E-2</v>
      </c>
      <c r="H40" s="949"/>
      <c r="I40" s="132" t="s">
        <v>2072</v>
      </c>
      <c r="J40" s="133"/>
      <c r="K40" s="948"/>
      <c r="L40" s="949"/>
      <c r="M40" s="949"/>
      <c r="Q40" s="656"/>
    </row>
    <row r="41" spans="1:18" s="652" customFormat="1" ht="18" customHeight="1">
      <c r="A41" s="237"/>
      <c r="B41" s="238"/>
      <c r="C41" s="239"/>
      <c r="D41" s="269" t="s">
        <v>2073</v>
      </c>
      <c r="E41" s="1274" t="s">
        <v>2652</v>
      </c>
      <c r="F41" s="270">
        <f>IF('数据-取费表'!B29="租赁期内按合同租金",'数据-取费表'!B35,IF(E41="收益年期(n)",'数据-取费表'!B34,'数据-取费表'!B13))</f>
        <v>38</v>
      </c>
      <c r="H41" s="950"/>
      <c r="I41" s="135" t="s">
        <v>1945</v>
      </c>
      <c r="J41" s="136">
        <f ca="1">ROUND(C13/C40,3)</f>
        <v>0.20899999999999999</v>
      </c>
      <c r="K41" s="947"/>
      <c r="L41" s="950"/>
      <c r="M41" s="950"/>
      <c r="Q41" s="656"/>
    </row>
    <row r="42" spans="1:18" s="652" customFormat="1" ht="18" customHeight="1">
      <c r="A42" s="241"/>
      <c r="B42" s="242"/>
      <c r="C42" s="243"/>
      <c r="D42" s="264"/>
      <c r="E42" s="235" t="s">
        <v>2049</v>
      </c>
      <c r="F42" s="245">
        <f>'数据-取费表'!B32</f>
        <v>0.03</v>
      </c>
      <c r="H42" s="950"/>
      <c r="I42" s="135" t="s">
        <v>1946</v>
      </c>
      <c r="J42" s="137">
        <f ca="1">1-J41</f>
        <v>0.79100000000000004</v>
      </c>
      <c r="K42" s="947"/>
      <c r="L42" s="950"/>
      <c r="M42" s="950"/>
      <c r="Q42" s="656"/>
    </row>
    <row r="43" spans="1:18" s="652" customFormat="1" ht="18" customHeight="1" thickBot="1">
      <c r="A43" s="271" t="s">
        <v>24</v>
      </c>
      <c r="B43" s="272" t="s">
        <v>2074</v>
      </c>
      <c r="C43" s="273">
        <f ca="1">ROUND(C40/F43,0)</f>
        <v>22907</v>
      </c>
      <c r="D43" s="274" t="s">
        <v>2075</v>
      </c>
      <c r="E43" s="275" t="s">
        <v>2076</v>
      </c>
      <c r="F43" s="276">
        <f>IF(D1="仅计算典型户型",'数据-取费表'!E5,'数据-取费表'!B5)</f>
        <v>63</v>
      </c>
      <c r="G43" s="654"/>
      <c r="H43" s="950"/>
      <c r="I43" s="950"/>
      <c r="J43" s="950"/>
      <c r="K43" s="947"/>
      <c r="L43" s="950"/>
      <c r="M43" s="950"/>
      <c r="O43" s="1041" t="s">
        <v>2077</v>
      </c>
      <c r="P43" s="1042"/>
      <c r="Q43" s="1038"/>
      <c r="R43" s="1042"/>
    </row>
    <row r="44" spans="1:18" s="652" customFormat="1" ht="18" customHeight="1" thickBot="1">
      <c r="A44" s="649"/>
      <c r="B44" s="649"/>
      <c r="C44" s="651"/>
      <c r="D44" s="649"/>
      <c r="E44" s="649"/>
      <c r="F44" s="649"/>
      <c r="G44" s="654"/>
      <c r="K44" s="653"/>
      <c r="O44" s="1043" t="s">
        <v>2078</v>
      </c>
      <c r="P44" s="1044" t="s">
        <v>2079</v>
      </c>
      <c r="Q44" s="1045" t="s">
        <v>2080</v>
      </c>
      <c r="R44" s="1046" t="s">
        <v>2081</v>
      </c>
    </row>
    <row r="45" spans="1:18" s="652" customFormat="1" ht="18" customHeight="1" thickBot="1">
      <c r="A45" s="649"/>
      <c r="B45" s="649"/>
      <c r="C45" s="651"/>
      <c r="D45" s="649"/>
      <c r="E45" s="649"/>
      <c r="F45" s="649"/>
      <c r="G45" s="655"/>
      <c r="K45" s="653"/>
      <c r="O45" s="1047" t="s">
        <v>949</v>
      </c>
      <c r="P45" s="1048" t="s">
        <v>2082</v>
      </c>
      <c r="Q45" s="1049">
        <f ca="1">C40+J29</f>
        <v>1443153</v>
      </c>
      <c r="R45" s="1050" t="s">
        <v>2083</v>
      </c>
    </row>
    <row r="46" spans="1:18" s="652" customFormat="1" ht="18" customHeight="1" thickBot="1">
      <c r="A46" s="649"/>
      <c r="D46" s="649"/>
      <c r="E46" s="649"/>
      <c r="F46" s="649"/>
      <c r="K46" s="653"/>
      <c r="O46" s="1047" t="s">
        <v>950</v>
      </c>
      <c r="P46" s="1048" t="s">
        <v>2084</v>
      </c>
      <c r="Q46" s="1049">
        <f ca="1">J61</f>
        <v>7818</v>
      </c>
      <c r="R46" s="1050" t="s">
        <v>2085</v>
      </c>
    </row>
    <row r="47" spans="1:18" s="652" customFormat="1" ht="21.75" thickBot="1">
      <c r="A47" s="1497" t="s">
        <v>2086</v>
      </c>
      <c r="C47" s="992">
        <f ca="1">IF(C2="元",C69-C40,ROUND((C69-C40)/10000,0))</f>
        <v>-154</v>
      </c>
      <c r="D47" s="1498" t="str">
        <f>C2</f>
        <v>万元</v>
      </c>
      <c r="E47" s="649"/>
      <c r="F47" s="649"/>
      <c r="I47" s="1499" t="s">
        <v>2087</v>
      </c>
      <c r="J47" s="1023"/>
      <c r="K47" s="1024"/>
      <c r="L47" s="1037">
        <f ca="1">IF(M48="住宅",0,IF(L49&gt;J52,L61,J61))</f>
        <v>7818</v>
      </c>
      <c r="O47" s="1051" t="s">
        <v>951</v>
      </c>
      <c r="P47" s="1048" t="s">
        <v>2088</v>
      </c>
      <c r="Q47" s="1049">
        <f ca="1">C29</f>
        <v>364024</v>
      </c>
      <c r="R47" s="1050" t="s">
        <v>2083</v>
      </c>
    </row>
    <row r="48" spans="1:18" s="652" customFormat="1" ht="15.75" thickBot="1">
      <c r="A48" s="228" t="s">
        <v>2089</v>
      </c>
      <c r="B48" s="229" t="s">
        <v>2090</v>
      </c>
      <c r="C48" s="229" t="s">
        <v>2091</v>
      </c>
      <c r="D48" s="229" t="s">
        <v>2092</v>
      </c>
      <c r="E48" s="986" t="s">
        <v>2093</v>
      </c>
      <c r="F48" s="987"/>
      <c r="I48" s="1500" t="s">
        <v>2094</v>
      </c>
      <c r="J48" s="1501" t="s">
        <v>3001</v>
      </c>
      <c r="K48" s="1502" t="s">
        <v>2095</v>
      </c>
      <c r="L48" s="1025">
        <f>'数据-取费表'!B11</f>
        <v>50</v>
      </c>
      <c r="M48" s="1038" t="str">
        <f>IF('数据-取费表'!B10="住宅","住宅","非住宅")</f>
        <v>非住宅</v>
      </c>
      <c r="O48" s="1051" t="s">
        <v>952</v>
      </c>
      <c r="P48" s="1048" t="s">
        <v>2096</v>
      </c>
      <c r="Q48" s="1052">
        <f>J59</f>
        <v>0.4</v>
      </c>
      <c r="R48" s="1050"/>
    </row>
    <row r="49" spans="1:18" s="652" customFormat="1" ht="15.75" thickBot="1">
      <c r="A49" s="1098" t="s">
        <v>963</v>
      </c>
      <c r="B49" s="233" t="s">
        <v>2097</v>
      </c>
      <c r="C49" s="1099">
        <f ca="1">C50+C54+C56</f>
        <v>0</v>
      </c>
      <c r="D49" s="1100"/>
      <c r="E49" s="44"/>
      <c r="F49" s="15"/>
      <c r="I49" s="1503" t="s">
        <v>2098</v>
      </c>
      <c r="J49" s="1504" t="s">
        <v>3002</v>
      </c>
      <c r="K49" s="1505" t="s">
        <v>2099</v>
      </c>
      <c r="L49" s="863">
        <f>'数据-取费表'!B13</f>
        <v>38</v>
      </c>
      <c r="O49" s="1051" t="s">
        <v>953</v>
      </c>
      <c r="P49" s="1048" t="s">
        <v>2100</v>
      </c>
      <c r="Q49" s="1052">
        <f>J53</f>
        <v>0.08</v>
      </c>
      <c r="R49" s="1050"/>
    </row>
    <row r="50" spans="1:18" s="652" customFormat="1" ht="15.75" thickBot="1">
      <c r="A50" s="260" t="s">
        <v>1957</v>
      </c>
      <c r="B50" s="1412" t="s">
        <v>2101</v>
      </c>
      <c r="C50" s="234">
        <f>ROUND(F50*F52*F51*(1-F53),0)</f>
        <v>0</v>
      </c>
      <c r="D50" s="42" t="s">
        <v>2644</v>
      </c>
      <c r="E50" s="1506" t="s">
        <v>2102</v>
      </c>
      <c r="F50" s="988"/>
      <c r="I50" s="1503" t="s">
        <v>2103</v>
      </c>
      <c r="J50" s="863">
        <f>'数据-取费表'!B27</f>
        <v>2011</v>
      </c>
      <c r="K50" s="1507" t="s">
        <v>2104</v>
      </c>
      <c r="L50" s="1026"/>
      <c r="O50" s="1051" t="s">
        <v>954</v>
      </c>
      <c r="P50" s="1048" t="s">
        <v>2105</v>
      </c>
      <c r="Q50" s="1049">
        <f>J54</f>
        <v>38</v>
      </c>
      <c r="R50" s="1050" t="s">
        <v>2106</v>
      </c>
    </row>
    <row r="51" spans="1:18" s="652" customFormat="1" ht="15.75" thickBot="1">
      <c r="A51" s="237"/>
      <c r="B51" s="238"/>
      <c r="C51" s="239"/>
      <c r="D51" s="240"/>
      <c r="E51" s="255" t="s">
        <v>1960</v>
      </c>
      <c r="F51" s="985">
        <f>F7</f>
        <v>63</v>
      </c>
      <c r="I51" s="1503" t="s">
        <v>2107</v>
      </c>
      <c r="J51" s="1027">
        <f>SUMPRODUCT((I64:I66=J48)*(J63:L63=J49)*(J64:L66))</f>
        <v>60</v>
      </c>
      <c r="K51" s="1507" t="s">
        <v>2108</v>
      </c>
      <c r="L51" s="1026"/>
      <c r="O51" s="1047" t="s">
        <v>955</v>
      </c>
      <c r="P51" s="1048" t="str">
        <f>IF(C2="元","收益价值(元)","收益价值(万元)")</f>
        <v>收益价值(万元)</v>
      </c>
      <c r="Q51" s="1049">
        <f ca="1">ROUND(IF(C2="元",Q45+Q46,(Q45+Q46)/10000),0)</f>
        <v>145</v>
      </c>
      <c r="R51" s="1050" t="s">
        <v>956</v>
      </c>
    </row>
    <row r="52" spans="1:18" s="652" customFormat="1" ht="16.5" thickBot="1">
      <c r="A52" s="237"/>
      <c r="B52" s="238"/>
      <c r="C52" s="239"/>
      <c r="D52" s="240"/>
      <c r="E52" s="235" t="s">
        <v>1962</v>
      </c>
      <c r="F52" s="236">
        <f>F8</f>
        <v>365</v>
      </c>
      <c r="I52" s="1508" t="s">
        <v>2109</v>
      </c>
      <c r="J52" s="1028">
        <f>IF(J50="",J51,J50+J51-YEAR('数据-取费表'!B2))</f>
        <v>50</v>
      </c>
      <c r="K52" s="1509" t="s">
        <v>2110</v>
      </c>
      <c r="L52" s="1029">
        <f ca="1">ROUND(-PV('数据-取费表'!B15,J52,(C40-C13*J35)),0)</f>
        <v>26346094</v>
      </c>
      <c r="O52" s="1041" t="s">
        <v>2111</v>
      </c>
      <c r="P52" s="1042"/>
      <c r="Q52" s="1038"/>
      <c r="R52" s="1042"/>
    </row>
    <row r="53" spans="1:18" s="652" customFormat="1" ht="15.75" thickBot="1">
      <c r="A53" s="241"/>
      <c r="B53" s="242"/>
      <c r="C53" s="243"/>
      <c r="D53" s="244"/>
      <c r="E53" s="235" t="s">
        <v>1963</v>
      </c>
      <c r="F53" s="1036"/>
      <c r="I53" s="1510" t="s">
        <v>2112</v>
      </c>
      <c r="J53" s="1030">
        <v>0.08</v>
      </c>
      <c r="K53" s="1510" t="s">
        <v>2113</v>
      </c>
      <c r="L53" s="1030"/>
      <c r="O53" s="1043" t="s">
        <v>2078</v>
      </c>
      <c r="P53" s="1044" t="s">
        <v>2079</v>
      </c>
      <c r="Q53" s="1045" t="s">
        <v>2080</v>
      </c>
      <c r="R53" s="1046" t="s">
        <v>2081</v>
      </c>
    </row>
    <row r="54" spans="1:18" s="652" customFormat="1" ht="29.25" customHeight="1" thickBot="1">
      <c r="A54" s="1057" t="s">
        <v>1964</v>
      </c>
      <c r="B54" s="1491" t="s">
        <v>1965</v>
      </c>
      <c r="C54" s="1058">
        <f ca="1">ROUND(IF(F54="押一",C50/12*F11,IF(F54="押二",C50/12*2*F11,IF(F54="押三",C50/12*3*F11,C55*F11))),0)</f>
        <v>0</v>
      </c>
      <c r="D54" s="1492" t="s">
        <v>2650</v>
      </c>
      <c r="E54" s="246" t="s">
        <v>1966</v>
      </c>
      <c r="F54" s="1493"/>
      <c r="I54" s="1599" t="s">
        <v>2653</v>
      </c>
      <c r="J54" s="1031">
        <f>IF(M48="住宅",IF(E1="——",MAX(J52,L49),MAX(J52,L49-'数据-取费表'!B26)),IF(E1="——",MIN(J52,L49),MIN(J52,L49-'数据-取费表'!B26)))</f>
        <v>38</v>
      </c>
      <c r="K54" s="3614" t="s">
        <v>2642</v>
      </c>
      <c r="L54" s="3615"/>
      <c r="O54" s="1047" t="s">
        <v>949</v>
      </c>
      <c r="P54" s="1048" t="s">
        <v>2082</v>
      </c>
      <c r="Q54" s="1049">
        <f ca="1">C40+J29</f>
        <v>1443153</v>
      </c>
      <c r="R54" s="1050" t="s">
        <v>2083</v>
      </c>
    </row>
    <row r="55" spans="1:18" s="652" customFormat="1" ht="20.25" thickBot="1">
      <c r="A55" s="1057"/>
      <c r="B55" s="1511" t="s">
        <v>1970</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2114</v>
      </c>
      <c r="Q55" s="1049">
        <f>L61</f>
        <v>0</v>
      </c>
      <c r="R55" s="1050" t="s">
        <v>2115</v>
      </c>
    </row>
    <row r="56" spans="1:18" s="652" customFormat="1" ht="20.25" thickBot="1">
      <c r="A56" s="1067" t="s">
        <v>1971</v>
      </c>
      <c r="B56" s="1495" t="s">
        <v>1972</v>
      </c>
      <c r="C56" s="1068"/>
      <c r="D56" s="1084"/>
      <c r="E56" s="1514"/>
      <c r="F56" s="1123"/>
      <c r="I56" s="1515" t="s">
        <v>2116</v>
      </c>
      <c r="J56" s="1290">
        <f>ROUND(IF(J48="钢混",J58/J51,1-(1-2%)*(J51-J58)/J51),3)</f>
        <v>0.2</v>
      </c>
      <c r="K56" s="1516" t="s">
        <v>2117</v>
      </c>
      <c r="L56" s="1032"/>
      <c r="O56" s="1051" t="s">
        <v>951</v>
      </c>
      <c r="P56" s="1048" t="s">
        <v>2118</v>
      </c>
      <c r="Q56" s="1049">
        <f>IF(L56="比较法",L50,IF(L56="基准地价",L51,0))</f>
        <v>0</v>
      </c>
      <c r="R56" s="1050" t="s">
        <v>2083</v>
      </c>
    </row>
    <row r="57" spans="1:18" s="652" customFormat="1" ht="44.25" thickTop="1" thickBot="1">
      <c r="A57" s="1063">
        <v>2</v>
      </c>
      <c r="B57" s="1064" t="s">
        <v>1973</v>
      </c>
      <c r="C57" s="1122">
        <f ca="1">C13</f>
        <v>302140</v>
      </c>
      <c r="D57" s="983"/>
      <c r="E57" s="984"/>
      <c r="F57" s="991"/>
      <c r="I57" s="1517" t="s">
        <v>2119</v>
      </c>
      <c r="J57" s="1035" t="s">
        <v>3003</v>
      </c>
      <c r="K57" s="1503" t="s">
        <v>2120</v>
      </c>
      <c r="L57" s="863" t="str">
        <f>IF(L49&lt;J52,"——",L49-J52)</f>
        <v>——</v>
      </c>
      <c r="O57" s="1051" t="s">
        <v>952</v>
      </c>
      <c r="P57" s="1048" t="s">
        <v>2121</v>
      </c>
      <c r="Q57" s="1052">
        <f>L53</f>
        <v>0</v>
      </c>
      <c r="R57" s="1050"/>
    </row>
    <row r="58" spans="1:18" s="652" customFormat="1" ht="29.25" thickBot="1">
      <c r="A58" s="990"/>
      <c r="B58" s="235" t="s">
        <v>2051</v>
      </c>
      <c r="C58" s="104">
        <f ca="1">C29</f>
        <v>364024</v>
      </c>
      <c r="D58" s="983"/>
      <c r="E58" s="984"/>
      <c r="F58" s="991"/>
      <c r="I58" s="1518" t="s">
        <v>2122</v>
      </c>
      <c r="J58" s="1034">
        <f>IF(OR(M48="住宅",J52&lt;L49,J57="是"),"——",J52-L49)</f>
        <v>12</v>
      </c>
      <c r="K58" s="1503" t="s">
        <v>2123</v>
      </c>
      <c r="L58" s="863" t="str">
        <f>IF(L49&lt;J52,"——",IF(L56="比较法",L50,IF(L56="基准地价",L51,L52)))</f>
        <v>——</v>
      </c>
      <c r="O58" s="1051" t="s">
        <v>953</v>
      </c>
      <c r="P58" s="1048" t="s">
        <v>2124</v>
      </c>
      <c r="Q58" s="1049" t="e">
        <f>L59</f>
        <v>#DIV/0!</v>
      </c>
      <c r="R58" s="1050" t="s">
        <v>2125</v>
      </c>
    </row>
    <row r="59" spans="1:18" s="652" customFormat="1" ht="29.25" thickBot="1">
      <c r="A59" s="248" t="s">
        <v>14</v>
      </c>
      <c r="B59" s="249" t="s">
        <v>2054</v>
      </c>
      <c r="C59" s="250">
        <f ca="1">ROUND(C60+C65+C66+C67,0)</f>
        <v>5913</v>
      </c>
      <c r="D59" s="12" t="s">
        <v>2055</v>
      </c>
      <c r="E59" s="1303"/>
      <c r="F59" s="15"/>
      <c r="I59" s="1518" t="s">
        <v>2126</v>
      </c>
      <c r="J59" s="1289">
        <f>IF(J56&lt;0.4,0.4,J56)</f>
        <v>0.4</v>
      </c>
      <c r="K59" s="1509" t="s">
        <v>2127</v>
      </c>
      <c r="L59" s="863" t="e">
        <f>ROUND(POWER(1+L53,L48-L49)*(POWER(1+L53,L49)-1)/(POWER(1+L53,L48)-1),4)</f>
        <v>#DIV/0!</v>
      </c>
      <c r="O59" s="1051" t="s">
        <v>954</v>
      </c>
      <c r="P59" s="1048" t="str">
        <f>K60</f>
        <v>建筑物剩余耐用年限下的土地年期修正系数Kn</v>
      </c>
      <c r="Q59" s="1049" t="e">
        <f>L60</f>
        <v>#DIV/0!</v>
      </c>
      <c r="R59" s="1050" t="s">
        <v>2128</v>
      </c>
    </row>
    <row r="60" spans="1:18" s="652" customFormat="1" ht="29.25" thickBot="1">
      <c r="A60" s="253" t="s">
        <v>15</v>
      </c>
      <c r="B60" s="235" t="s">
        <v>1995</v>
      </c>
      <c r="C60" s="2797">
        <f>ROUND(IF(AND(项目基本情况!B7="自然人",项目基本情况!B6="北京市"),C50*F60/(1+'数据-取费表'!F30),C61+C62+C63),0)</f>
        <v>0</v>
      </c>
      <c r="D60" s="1298" t="s">
        <v>2056</v>
      </c>
      <c r="E60" s="1301" t="s">
        <v>2057</v>
      </c>
      <c r="F60" s="2796">
        <f>IF(项目基本情况!B7="企业","——",IF('数据-取费表'!B10="住宅",IF(F50*F51*F52/12/(1+'数据-取费表'!F30)&gt;100000,4%,2.5%),IF(F50*F51*F52/12/(1+'数据-取费表'!F30)&gt;100000,12%,7%)))</f>
        <v>7.0000000000000007E-2</v>
      </c>
      <c r="I60" s="1518" t="s">
        <v>2129</v>
      </c>
      <c r="J60" s="1034">
        <f ca="1">IF(OR(M48="住宅",J52&lt;L49,J57="是"),"——",ROUND(C29*J59,0))</f>
        <v>145610</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144</v>
      </c>
      <c r="R60" s="1050" t="s">
        <v>956</v>
      </c>
    </row>
    <row r="61" spans="1:18" s="652" customFormat="1" ht="16.5" thickBot="1">
      <c r="A61" s="253" t="s">
        <v>16</v>
      </c>
      <c r="B61" s="235" t="s">
        <v>2058</v>
      </c>
      <c r="C61" s="13" t="str">
        <f>IF(项目基本情况!B7="自然人","——",ROUND(C49*F61/(1+'数据-取费表'!F30),0))</f>
        <v>——</v>
      </c>
      <c r="D61" s="1301" t="s">
        <v>2059</v>
      </c>
      <c r="E61" s="235" t="s">
        <v>2008</v>
      </c>
      <c r="F61" s="267">
        <f t="shared" ref="F61:F67" si="0">F32</f>
        <v>5.6000000000000001E-2</v>
      </c>
      <c r="I61" s="1519" t="s">
        <v>2130</v>
      </c>
      <c r="J61" s="1033">
        <f ca="1">IF(OR(M48="住宅",J52&lt;L49,J57="是"),"0",ROUND(J60/(1+J53)^J54,0))</f>
        <v>7818</v>
      </c>
      <c r="K61" s="1520" t="s">
        <v>2131</v>
      </c>
      <c r="L61" s="1033">
        <f>IF(OR(M48="住宅",L49&lt;J52),0,ROUND(L58*(L59/L60-1),0))</f>
        <v>0</v>
      </c>
      <c r="O61" s="1041" t="s">
        <v>2132</v>
      </c>
      <c r="P61" s="1042"/>
      <c r="Q61" s="1038"/>
      <c r="R61" s="1042"/>
    </row>
    <row r="62" spans="1:18" s="652" customFormat="1" ht="15.75" thickBot="1">
      <c r="A62" s="253" t="s">
        <v>17</v>
      </c>
      <c r="B62" s="235" t="s">
        <v>2133</v>
      </c>
      <c r="C62" s="13" t="str">
        <f>IF(项目基本情况!B7="自然人","——",IF(D62="按租金收入计税",ROUND(C50*F62/(1+'数据-取费表'!F30),0),IF(D62="按房产原值计税",ROUND(C58*F62*0.7,0),'数据-取费表'!B44)))</f>
        <v>——</v>
      </c>
      <c r="D62" s="1406" t="s">
        <v>2005</v>
      </c>
      <c r="E62" s="235" t="s">
        <v>2008</v>
      </c>
      <c r="F62" s="258">
        <f t="shared" si="0"/>
        <v>0.12</v>
      </c>
      <c r="O62" s="1043" t="s">
        <v>2078</v>
      </c>
      <c r="P62" s="1044" t="s">
        <v>2079</v>
      </c>
      <c r="Q62" s="1045" t="s">
        <v>2080</v>
      </c>
      <c r="R62" s="1046" t="s">
        <v>2081</v>
      </c>
    </row>
    <row r="63" spans="1:18" s="652" customFormat="1" ht="15.75" thickBot="1">
      <c r="A63" s="260" t="s">
        <v>18</v>
      </c>
      <c r="B63" s="36" t="s">
        <v>2134</v>
      </c>
      <c r="C63" s="14" t="str">
        <f>IF(项目基本情况!B7="自然人","——",ROUND(F63*F64,0))</f>
        <v>——</v>
      </c>
      <c r="D63" s="261" t="s">
        <v>2135</v>
      </c>
      <c r="E63" s="235" t="s">
        <v>2136</v>
      </c>
      <c r="F63" s="262">
        <f t="shared" si="0"/>
        <v>1.5</v>
      </c>
      <c r="I63" s="1521" t="s">
        <v>2137</v>
      </c>
      <c r="J63" s="1293" t="s">
        <v>2138</v>
      </c>
      <c r="K63" s="1293" t="s">
        <v>2139</v>
      </c>
      <c r="L63" s="1293" t="s">
        <v>2140</v>
      </c>
      <c r="M63" s="1292" t="s">
        <v>2141</v>
      </c>
      <c r="O63" s="1047" t="s">
        <v>949</v>
      </c>
      <c r="P63" s="1048" t="s">
        <v>2082</v>
      </c>
      <c r="Q63" s="1049">
        <f ca="1">C40+J29</f>
        <v>1443153</v>
      </c>
      <c r="R63" s="1050" t="s">
        <v>2083</v>
      </c>
    </row>
    <row r="64" spans="1:18" s="652" customFormat="1" ht="20.25" thickBot="1">
      <c r="A64" s="263"/>
      <c r="B64" s="244"/>
      <c r="C64" s="17"/>
      <c r="D64" s="264"/>
      <c r="E64" s="235" t="s">
        <v>2142</v>
      </c>
      <c r="F64" s="236">
        <f t="shared" si="0"/>
        <v>0</v>
      </c>
      <c r="I64" s="1521" t="s">
        <v>2143</v>
      </c>
      <c r="J64" s="1293">
        <v>70</v>
      </c>
      <c r="K64" s="1293">
        <v>50</v>
      </c>
      <c r="L64" s="1293">
        <v>80</v>
      </c>
      <c r="M64" s="1291">
        <v>0.02</v>
      </c>
      <c r="O64" s="1047" t="s">
        <v>950</v>
      </c>
      <c r="P64" s="1048" t="s">
        <v>2114</v>
      </c>
      <c r="Q64" s="1049">
        <f>L61</f>
        <v>0</v>
      </c>
      <c r="R64" s="1050" t="s">
        <v>2115</v>
      </c>
    </row>
    <row r="65" spans="1:18" s="652" customFormat="1" ht="23.25" thickBot="1">
      <c r="A65" s="253" t="s">
        <v>19</v>
      </c>
      <c r="B65" s="235" t="s">
        <v>2063</v>
      </c>
      <c r="C65" s="13">
        <f ca="1">ROUND(C58*F65,0)</f>
        <v>5460</v>
      </c>
      <c r="D65" s="1301" t="s">
        <v>2064</v>
      </c>
      <c r="E65" s="235" t="s">
        <v>2008</v>
      </c>
      <c r="F65" s="265">
        <f t="shared" si="0"/>
        <v>1.4999999999999999E-2</v>
      </c>
      <c r="I65" s="1521" t="s">
        <v>2144</v>
      </c>
      <c r="J65" s="1293">
        <v>50</v>
      </c>
      <c r="K65" s="1293">
        <v>35</v>
      </c>
      <c r="L65" s="1293">
        <v>60</v>
      </c>
      <c r="M65" s="1292">
        <v>0</v>
      </c>
      <c r="O65" s="1051" t="s">
        <v>951</v>
      </c>
      <c r="P65" s="1048" t="s">
        <v>2118</v>
      </c>
      <c r="Q65" s="1053">
        <f ca="1">L52</f>
        <v>26346094</v>
      </c>
      <c r="R65" s="1054" t="s">
        <v>2145</v>
      </c>
    </row>
    <row r="66" spans="1:18" s="652" customFormat="1" ht="20.25" thickBot="1">
      <c r="A66" s="253" t="s">
        <v>20</v>
      </c>
      <c r="B66" s="235" t="s">
        <v>2023</v>
      </c>
      <c r="C66" s="13">
        <f ca="1">ROUND(C57*F66,0)</f>
        <v>453</v>
      </c>
      <c r="D66" s="1301" t="s">
        <v>2024</v>
      </c>
      <c r="E66" s="235" t="s">
        <v>2025</v>
      </c>
      <c r="F66" s="266">
        <f t="shared" si="0"/>
        <v>1.5E-3</v>
      </c>
      <c r="I66" s="1521" t="s">
        <v>2146</v>
      </c>
      <c r="J66" s="1293">
        <v>40</v>
      </c>
      <c r="K66" s="1293">
        <v>30</v>
      </c>
      <c r="L66" s="1293">
        <v>50</v>
      </c>
      <c r="M66" s="1291">
        <v>0.02</v>
      </c>
      <c r="O66" s="1051" t="s">
        <v>952</v>
      </c>
      <c r="P66" s="1055" t="s">
        <v>2147</v>
      </c>
      <c r="Q66" s="1049">
        <f ca="1">ROUND(Q67-Q68*Q69,0)</f>
        <v>60332</v>
      </c>
      <c r="R66" s="1050"/>
    </row>
    <row r="67" spans="1:18" s="652" customFormat="1" ht="15.75" thickBot="1">
      <c r="A67" s="253" t="s">
        <v>21</v>
      </c>
      <c r="B67" s="235" t="s">
        <v>2006</v>
      </c>
      <c r="C67" s="13">
        <f ca="1">ROUND(C49*F67,0)</f>
        <v>0</v>
      </c>
      <c r="D67" s="1301" t="s">
        <v>2029</v>
      </c>
      <c r="E67" s="235" t="s">
        <v>2025</v>
      </c>
      <c r="F67" s="245">
        <f t="shared" si="0"/>
        <v>0.02</v>
      </c>
      <c r="O67" s="1051" t="s">
        <v>957</v>
      </c>
      <c r="P67" s="1055" t="s">
        <v>2148</v>
      </c>
      <c r="Q67" s="1049">
        <f ca="1">C39</f>
        <v>60332</v>
      </c>
      <c r="R67" s="1050" t="s">
        <v>2083</v>
      </c>
    </row>
    <row r="68" spans="1:18" ht="15.75" thickBot="1">
      <c r="A68" s="248" t="s">
        <v>22</v>
      </c>
      <c r="B68" s="41" t="s">
        <v>2033</v>
      </c>
      <c r="C68" s="250">
        <f ca="1">C49-C59</f>
        <v>-5913</v>
      </c>
      <c r="D68" s="1298" t="s">
        <v>2034</v>
      </c>
      <c r="E68" s="1300"/>
      <c r="F68" s="268"/>
      <c r="H68" s="652"/>
      <c r="I68" s="652"/>
      <c r="J68" s="652"/>
      <c r="K68" s="652"/>
      <c r="L68" s="652"/>
      <c r="M68" s="652"/>
      <c r="O68" s="1051" t="s">
        <v>958</v>
      </c>
      <c r="P68" s="1055" t="s">
        <v>2149</v>
      </c>
      <c r="Q68" s="1049">
        <f ca="1">C13</f>
        <v>302140</v>
      </c>
      <c r="R68" s="1050" t="s">
        <v>2083</v>
      </c>
    </row>
    <row r="69" spans="1:18" ht="15.75" thickBot="1">
      <c r="A69" s="232" t="s">
        <v>23</v>
      </c>
      <c r="B69" s="233" t="s">
        <v>2071</v>
      </c>
      <c r="C69" s="234">
        <f ca="1">ROUND(C68*(1-((1+F71)/(1+F69))^F70)/(F69-F71),0)</f>
        <v>-93453</v>
      </c>
      <c r="D69" s="261" t="s">
        <v>2039</v>
      </c>
      <c r="E69" s="235" t="s">
        <v>2040</v>
      </c>
      <c r="F69" s="245">
        <f>F40</f>
        <v>5.5E-2</v>
      </c>
      <c r="H69" s="652"/>
      <c r="I69" s="652"/>
      <c r="J69" s="652"/>
      <c r="K69" s="652"/>
      <c r="L69" s="652"/>
      <c r="M69" s="652"/>
      <c r="O69" s="1051" t="s">
        <v>959</v>
      </c>
      <c r="P69" s="1055" t="s">
        <v>2150</v>
      </c>
      <c r="Q69" s="1052">
        <f>J35</f>
        <v>0</v>
      </c>
      <c r="R69" s="1050"/>
    </row>
    <row r="70" spans="1:18" ht="15.75" thickBot="1">
      <c r="A70" s="237"/>
      <c r="B70" s="238"/>
      <c r="C70" s="239"/>
      <c r="D70" s="269" t="s">
        <v>2073</v>
      </c>
      <c r="E70" s="235" t="s">
        <v>2045</v>
      </c>
      <c r="F70" s="270">
        <f>F41</f>
        <v>38</v>
      </c>
      <c r="H70" s="652"/>
      <c r="I70" s="652"/>
      <c r="J70" s="652"/>
      <c r="K70" s="652"/>
      <c r="L70" s="652"/>
      <c r="M70" s="652"/>
      <c r="O70" s="1051" t="s">
        <v>953</v>
      </c>
      <c r="P70" s="1048" t="s">
        <v>2121</v>
      </c>
      <c r="Q70" s="1052">
        <f>L53</f>
        <v>0</v>
      </c>
      <c r="R70" s="1050"/>
    </row>
    <row r="71" spans="1:18" ht="20.25" thickBot="1">
      <c r="A71" s="241"/>
      <c r="B71" s="242"/>
      <c r="C71" s="243"/>
      <c r="D71" s="264"/>
      <c r="E71" s="235" t="s">
        <v>2049</v>
      </c>
      <c r="F71" s="1036"/>
      <c r="H71" s="652"/>
      <c r="M71" s="652"/>
      <c r="O71" s="1051" t="s">
        <v>954</v>
      </c>
      <c r="P71" s="1048" t="s">
        <v>2124</v>
      </c>
      <c r="Q71" s="1049" t="e">
        <f>L59</f>
        <v>#DIV/0!</v>
      </c>
      <c r="R71" s="1050" t="s">
        <v>2125</v>
      </c>
    </row>
    <row r="72" spans="1:18" ht="15.75" thickBot="1">
      <c r="A72" s="271" t="s">
        <v>24</v>
      </c>
      <c r="B72" s="272" t="s">
        <v>2074</v>
      </c>
      <c r="C72" s="273">
        <f ca="1">ROUND(C69/F72,0)</f>
        <v>-1483</v>
      </c>
      <c r="D72" s="274" t="s">
        <v>2075</v>
      </c>
      <c r="E72" s="275" t="s">
        <v>2076</v>
      </c>
      <c r="F72" s="276">
        <f>F43</f>
        <v>63</v>
      </c>
      <c r="O72" s="1051" t="s">
        <v>960</v>
      </c>
      <c r="P72" s="1048" t="str">
        <f>K60</f>
        <v>建筑物剩余耐用年限下的土地年期修正系数Kn</v>
      </c>
      <c r="Q72" s="1049" t="e">
        <f>L60</f>
        <v>#DIV/0!</v>
      </c>
      <c r="R72" s="1050" t="s">
        <v>2128</v>
      </c>
    </row>
    <row r="73" spans="1:18" ht="15.75" thickBot="1">
      <c r="A73" s="652"/>
      <c r="B73" s="656"/>
      <c r="C73" s="656"/>
      <c r="D73" s="652"/>
      <c r="E73" s="652"/>
      <c r="F73" s="652"/>
      <c r="O73" s="1047" t="s">
        <v>955</v>
      </c>
      <c r="P73" s="1048" t="str">
        <f>IF(C2="元","收益价值(元)","收益价值(万元)")</f>
        <v>收益价值(万元)</v>
      </c>
      <c r="Q73" s="1049">
        <f ca="1">ROUND(IF(C2="元",Q63+Q64,(Q63+Q64)/10000),0)</f>
        <v>144</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tabSelected="1" view="pageBreakPreview" zoomScale="80" zoomScaleNormal="90" zoomScaleSheetLayoutView="80" workbookViewId="0">
      <pane ySplit="27" topLeftCell="A28" activePane="bottomLeft" state="frozen"/>
      <selection activeCell="A11" sqref="A11:D11"/>
      <selection pane="bottomLeft" activeCell="N24" sqref="N24"/>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 ca="1">B23</f>
        <v>390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f ca="1">B24</f>
        <v>29011</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19" t="s">
        <v>2156</v>
      </c>
      <c r="D4" s="3620"/>
      <c r="E4" s="3620"/>
      <c r="F4" s="3620"/>
      <c r="G4" s="3620"/>
      <c r="H4" s="3620"/>
      <c r="I4" s="3620"/>
      <c r="J4" s="3620"/>
      <c r="K4" s="3620"/>
      <c r="L4" s="3620"/>
      <c r="M4" s="3620"/>
      <c r="N4" s="3620"/>
      <c r="O4" s="3620"/>
      <c r="P4" s="3620"/>
      <c r="Q4" s="3620"/>
      <c r="R4" s="3620"/>
      <c r="S4" s="3621"/>
      <c r="T4" s="575" t="s">
        <v>2157</v>
      </c>
      <c r="U4" s="999"/>
      <c r="V4" s="999"/>
      <c r="X4" s="999"/>
      <c r="Y4" s="999"/>
    </row>
    <row r="5" spans="1:44" s="587" customFormat="1" ht="38.25">
      <c r="A5" s="1003"/>
      <c r="B5" s="583" t="s">
        <v>2158</v>
      </c>
      <c r="C5" s="584" t="str">
        <f t="shared" ref="C5:L5" si="0">C6&amp;"(含)"&amp;"-"&amp;D6</f>
        <v>0(含)-50</v>
      </c>
      <c r="D5" s="585" t="str">
        <f t="shared" si="0"/>
        <v>50(含)-100</v>
      </c>
      <c r="E5" s="585" t="str">
        <f t="shared" si="0"/>
        <v>100(含)-150</v>
      </c>
      <c r="F5" s="585" t="str">
        <f t="shared" si="0"/>
        <v>150(含)-200</v>
      </c>
      <c r="G5" s="585" t="str">
        <f t="shared" si="0"/>
        <v>200(含)-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50</v>
      </c>
      <c r="E6" s="590">
        <v>100</v>
      </c>
      <c r="F6" s="590">
        <v>150</v>
      </c>
      <c r="G6" s="590">
        <v>200</v>
      </c>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96</v>
      </c>
      <c r="D7" s="884">
        <v>98</v>
      </c>
      <c r="E7" s="884">
        <v>100</v>
      </c>
      <c r="F7" s="884">
        <v>98</v>
      </c>
      <c r="G7" s="884">
        <v>96</v>
      </c>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3717" t="s">
        <v>3038</v>
      </c>
      <c r="C8" s="887" t="str">
        <f>'比较法-办公'!C91</f>
        <v>南北</v>
      </c>
      <c r="D8" s="887" t="str">
        <f>'比较法-办公'!D91</f>
        <v>东南</v>
      </c>
      <c r="E8" s="887" t="str">
        <f>'比较法-办公'!E91</f>
        <v>西南</v>
      </c>
      <c r="F8" s="887" t="str">
        <f>'比较法-办公'!F91</f>
        <v>南</v>
      </c>
      <c r="G8" s="887" t="str">
        <f>'比较法-办公'!G91</f>
        <v>东</v>
      </c>
      <c r="H8" s="887" t="str">
        <f>'比较法-办公'!H91</f>
        <v>东西</v>
      </c>
      <c r="I8" s="887" t="str">
        <f>'比较法-办公'!I91</f>
        <v>东北</v>
      </c>
      <c r="J8" s="887" t="str">
        <f>'比较法-办公'!J91</f>
        <v>西</v>
      </c>
      <c r="K8" s="887" t="str">
        <f>'比较法-办公'!K91</f>
        <v>西北</v>
      </c>
      <c r="L8" s="889"/>
      <c r="M8" s="890"/>
      <c r="N8" s="890"/>
      <c r="O8" s="888"/>
      <c r="P8" s="888"/>
      <c r="Q8" s="888"/>
      <c r="R8" s="888"/>
      <c r="S8" s="915"/>
      <c r="T8" s="891">
        <f>'比较法-办公'!K28</f>
        <v>0.5</v>
      </c>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99.5</v>
      </c>
      <c r="E9" s="879">
        <f t="shared" si="7"/>
        <v>99</v>
      </c>
      <c r="F9" s="879">
        <f t="shared" si="7"/>
        <v>98.5</v>
      </c>
      <c r="G9" s="879">
        <f t="shared" si="7"/>
        <v>98</v>
      </c>
      <c r="H9" s="879">
        <f t="shared" si="7"/>
        <v>97.5</v>
      </c>
      <c r="I9" s="879">
        <f t="shared" si="7"/>
        <v>97</v>
      </c>
      <c r="J9" s="879">
        <f t="shared" si="7"/>
        <v>96.5</v>
      </c>
      <c r="K9" s="879">
        <f t="shared" si="7"/>
        <v>96</v>
      </c>
      <c r="L9" s="879">
        <f t="shared" si="7"/>
        <v>95.5</v>
      </c>
      <c r="M9" s="880">
        <f t="shared" si="7"/>
        <v>95</v>
      </c>
      <c r="N9" s="880">
        <f t="shared" si="7"/>
        <v>94.5</v>
      </c>
      <c r="O9" s="879">
        <f t="shared" si="7"/>
        <v>94</v>
      </c>
      <c r="P9" s="879">
        <f t="shared" si="7"/>
        <v>93.5</v>
      </c>
      <c r="Q9" s="879">
        <f t="shared" si="7"/>
        <v>93</v>
      </c>
      <c r="R9" s="879">
        <f t="shared" si="7"/>
        <v>92.5</v>
      </c>
      <c r="S9" s="916">
        <f t="shared" si="7"/>
        <v>92</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 ca="1">IF(F23="——",IF(C23="万元",T25,S25),IF(C23="万元",T25-H23,S25-H23))</f>
        <v>390</v>
      </c>
      <c r="C23" s="1525" t="str">
        <f>'数据-取费表'!B3</f>
        <v>万元</v>
      </c>
      <c r="D23" s="37"/>
      <c r="E23" s="37"/>
      <c r="F23" s="1526" t="s">
        <v>1184</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f ca="1">ROUND(B23*10000/B25,0)</f>
        <v>29011</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134.43</v>
      </c>
      <c r="C25" s="3616" t="s">
        <v>45</v>
      </c>
      <c r="D25" s="3617"/>
      <c r="E25" s="3617"/>
      <c r="F25" s="3617"/>
      <c r="G25" s="3617"/>
      <c r="H25" s="3617"/>
      <c r="I25" s="3617"/>
      <c r="J25" s="3617"/>
      <c r="K25" s="3617"/>
      <c r="L25" s="3617"/>
      <c r="M25" s="3617"/>
      <c r="N25" s="3617"/>
      <c r="O25" s="3617"/>
      <c r="P25" s="3617"/>
      <c r="Q25" s="3618"/>
      <c r="R25" s="597">
        <f ca="1">IF(C23="万元",ROUND(T25*10000/B25,0),ROUND(S25/B25,0))</f>
        <v>29011</v>
      </c>
      <c r="S25" s="13">
        <f ca="1">SUM(S27:S10000)</f>
        <v>3900224</v>
      </c>
      <c r="T25" s="13">
        <f ca="1">SUM(T27:T10000)</f>
        <v>390</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朝向</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v>510</v>
      </c>
      <c r="B27" s="600">
        <f>'数据-取费表'!E5</f>
        <v>63</v>
      </c>
      <c r="C27" s="901">
        <v>1</v>
      </c>
      <c r="D27" s="601" t="s">
        <v>3037</v>
      </c>
      <c r="E27" s="901">
        <v>1</v>
      </c>
      <c r="F27" s="601"/>
      <c r="G27" s="901">
        <v>1</v>
      </c>
      <c r="H27" s="601"/>
      <c r="I27" s="901">
        <v>1</v>
      </c>
      <c r="J27" s="601"/>
      <c r="K27" s="901">
        <v>1</v>
      </c>
      <c r="L27" s="601"/>
      <c r="M27" s="901">
        <v>1</v>
      </c>
      <c r="N27" s="601"/>
      <c r="O27" s="901">
        <v>1</v>
      </c>
      <c r="P27" s="601"/>
      <c r="Q27" s="901">
        <v>1</v>
      </c>
      <c r="R27" s="907">
        <f ca="1">'结果表 (1修多)'!G20</f>
        <v>28936</v>
      </c>
      <c r="S27" s="600">
        <f ca="1">ROUND(R27*B27,0)</f>
        <v>1822968</v>
      </c>
      <c r="T27" s="600">
        <f ca="1">ROUND(R27*B27/10000,0)</f>
        <v>182</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v>511</v>
      </c>
      <c r="B28" s="20">
        <v>71.430000000000007</v>
      </c>
      <c r="C28" s="13">
        <f t="shared" ref="C28:C91" si="14">IF(B28="",1,(LOOKUP(B28,$6:$6,$7:$7)-LOOKUP($B$27,$6:$6,$7:$7)+100)/100)</f>
        <v>1</v>
      </c>
      <c r="D28" s="601" t="s">
        <v>3039</v>
      </c>
      <c r="E28" s="13">
        <f t="shared" ref="E28:E91" si="15">(SUMIF($8:$8,D28,$9:$9)-SUMIF($8:$8,$D$27,$9:$9)+100)/100</f>
        <v>1.0049999999999999</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 ca="1">IF(B28="",0,ROUND($R$27*C28*E28*G28*I28*K28*M28*O28*Q28,0))</f>
        <v>29081</v>
      </c>
      <c r="S28" s="250">
        <f ca="1">ROUND(R28*B28,0)</f>
        <v>2077256</v>
      </c>
      <c r="T28" s="901">
        <f ca="1">ROUND(R28*B28/10000,0)</f>
        <v>208</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1.4999999999999999E-2</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1.4999999999999999E-2</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1.4999999999999999E-2</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1.4999999999999999E-2</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1.4999999999999999E-2</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1.4999999999999999E-2</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1.4999999999999999E-2</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1.4999999999999999E-2</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1.4999999999999999E-2</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1.4999999999999999E-2</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1.4999999999999999E-2</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1.4999999999999999E-2</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1.4999999999999999E-2</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1.4999999999999999E-2</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1.4999999999999999E-2</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1.4999999999999999E-2</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1.4999999999999999E-2</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1.4999999999999999E-2</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1.4999999999999999E-2</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1.4999999999999999E-2</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1.4999999999999999E-2</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1.4999999999999999E-2</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1.4999999999999999E-2</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1.4999999999999999E-2</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1.4999999999999999E-2</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1.4999999999999999E-2</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1.4999999999999999E-2</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1.4999999999999999E-2</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1.4999999999999999E-2</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1.4999999999999999E-2</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1.4999999999999999E-2</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1.4999999999999999E-2</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1.4999999999999999E-2</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1.4999999999999999E-2</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1.4999999999999999E-2</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1.4999999999999999E-2</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1.4999999999999999E-2</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1.4999999999999999E-2</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1.4999999999999999E-2</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1.4999999999999999E-2</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1.4999999999999999E-2</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1.4999999999999999E-2</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1.4999999999999999E-2</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1.4999999999999999E-2</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1.4999999999999999E-2</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1.4999999999999999E-2</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1.4999999999999999E-2</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1.4999999999999999E-2</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1.4999999999999999E-2</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1.4999999999999999E-2</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1.4999999999999999E-2</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1.4999999999999999E-2</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1.4999999999999999E-2</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1.4999999999999999E-2</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1.4999999999999999E-2</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1.4999999999999999E-2</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1.4999999999999999E-2</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1.4999999999999999E-2</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1.4999999999999999E-2</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1.4999999999999999E-2</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1.4999999999999999E-2</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1.4999999999999999E-2</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1.4999999999999999E-2</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1.4999999999999999E-2</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1.4999999999999999E-2</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1.4999999999999999E-2</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1.4999999999999999E-2</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1.4999999999999999E-2</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1.4999999999999999E-2</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1.4999999999999999E-2</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1.4999999999999999E-2</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1.4999999999999999E-2</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1.4999999999999999E-2</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1.4999999999999999E-2</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1.4999999999999999E-2</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1.4999999999999999E-2</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1.4999999999999999E-2</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1.4999999999999999E-2</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1.4999999999999999E-2</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1.4999999999999999E-2</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1.4999999999999999E-2</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1.4999999999999999E-2</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1.4999999999999999E-2</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1.4999999999999999E-2</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1.4999999999999999E-2</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1.4999999999999999E-2</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1.4999999999999999E-2</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1.4999999999999999E-2</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1.4999999999999999E-2</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1.4999999999999999E-2</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1.4999999999999999E-2</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1.4999999999999999E-2</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1.4999999999999999E-2</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1.4999999999999999E-2</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1.4999999999999999E-2</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1.4999999999999999E-2</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1.4999999999999999E-2</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1.4999999999999999E-2</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1.4999999999999999E-2</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1.4999999999999999E-2</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1.4999999999999999E-2</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1.4999999999999999E-2</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1.4999999999999999E-2</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1.4999999999999999E-2</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1.4999999999999999E-2</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1.4999999999999999E-2</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1.4999999999999999E-2</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1.4999999999999999E-2</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1.4999999999999999E-2</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1.4999999999999999E-2</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1.4999999999999999E-2</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1.4999999999999999E-2</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1.4999999999999999E-2</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1.4999999999999999E-2</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1.4999999999999999E-2</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1.4999999999999999E-2</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1.4999999999999999E-2</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1.4999999999999999E-2</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1.4999999999999999E-2</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1.4999999999999999E-2</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1.4999999999999999E-2</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1.4999999999999999E-2</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1.4999999999999999E-2</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1.4999999999999999E-2</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1.4999999999999999E-2</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1.4999999999999999E-2</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1.4999999999999999E-2</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1.4999999999999999E-2</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1.4999999999999999E-2</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1.4999999999999999E-2</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1.4999999999999999E-2</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1.4999999999999999E-2</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1.4999999999999999E-2</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1.4999999999999999E-2</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1.4999999999999999E-2</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1.4999999999999999E-2</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1.4999999999999999E-2</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1.4999999999999999E-2</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1.4999999999999999E-2</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1.4999999999999999E-2</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1.4999999999999999E-2</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1.4999999999999999E-2</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1.4999999999999999E-2</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1.4999999999999999E-2</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1.4999999999999999E-2</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1.4999999999999999E-2</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1.4999999999999999E-2</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1.4999999999999999E-2</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1.4999999999999999E-2</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1.4999999999999999E-2</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1.4999999999999999E-2</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1.4999999999999999E-2</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1.4999999999999999E-2</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1.4999999999999999E-2</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1.4999999999999999E-2</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1.4999999999999999E-2</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1.4999999999999999E-2</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1.4999999999999999E-2</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1.4999999999999999E-2</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1.4999999999999999E-2</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1.4999999999999999E-2</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1.4999999999999999E-2</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1.4999999999999999E-2</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1.4999999999999999E-2</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1.4999999999999999E-2</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1.4999999999999999E-2</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1.4999999999999999E-2</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1.4999999999999999E-2</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1.4999999999999999E-2</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1.4999999999999999E-2</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1.4999999999999999E-2</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1.4999999999999999E-2</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1.4999999999999999E-2</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1.4999999999999999E-2</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1.4999999999999999E-2</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1.4999999999999999E-2</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1.4999999999999999E-2</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1.4999999999999999E-2</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1.4999999999999999E-2</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1.4999999999999999E-2</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1.4999999999999999E-2</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1.4999999999999999E-2</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1.4999999999999999E-2</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1.4999999999999999E-2</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1.4999999999999999E-2</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1.4999999999999999E-2</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1.4999999999999999E-2</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1.4999999999999999E-2</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1.4999999999999999E-2</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1.4999999999999999E-2</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1.4999999999999999E-2</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1.4999999999999999E-2</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1.4999999999999999E-2</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1.4999999999999999E-2</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1.4999999999999999E-2</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1.4999999999999999E-2</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1.4999999999999999E-2</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1.4999999999999999E-2</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1.4999999999999999E-2</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1.4999999999999999E-2</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1.4999999999999999E-2</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1.4999999999999999E-2</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1.4999999999999999E-2</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1.4999999999999999E-2</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1.4999999999999999E-2</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1.4999999999999999E-2</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1.4999999999999999E-2</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1.4999999999999999E-2</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1.4999999999999999E-2</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1.4999999999999999E-2</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1.4999999999999999E-2</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1.4999999999999999E-2</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1.4999999999999999E-2</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1.4999999999999999E-2</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1.4999999999999999E-2</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1.4999999999999999E-2</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1.4999999999999999E-2</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1.4999999999999999E-2</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1.4999999999999999E-2</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1.4999999999999999E-2</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1.4999999999999999E-2</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1.4999999999999999E-2</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1.4999999999999999E-2</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1.4999999999999999E-2</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1.4999999999999999E-2</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1.4999999999999999E-2</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1.4999999999999999E-2</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1.4999999999999999E-2</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1.4999999999999999E-2</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1.4999999999999999E-2</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1.4999999999999999E-2</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1.4999999999999999E-2</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1.4999999999999999E-2</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1.4999999999999999E-2</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1.4999999999999999E-2</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1.4999999999999999E-2</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1.4999999999999999E-2</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1.4999999999999999E-2</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1.4999999999999999E-2</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1.4999999999999999E-2</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1.4999999999999999E-2</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1.4999999999999999E-2</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1.4999999999999999E-2</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1.4999999999999999E-2</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1.4999999999999999E-2</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1.4999999999999999E-2</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1.4999999999999999E-2</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1.4999999999999999E-2</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1.4999999999999999E-2</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1.4999999999999999E-2</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1.4999999999999999E-2</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1.4999999999999999E-2</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1.4999999999999999E-2</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1.4999999999999999E-2</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1.4999999999999999E-2</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1.4999999999999999E-2</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1.4999999999999999E-2</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1.4999999999999999E-2</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1.4999999999999999E-2</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1.4999999999999999E-2</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1.4999999999999999E-2</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1.4999999999999999E-2</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1.4999999999999999E-2</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1.4999999999999999E-2</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1.4999999999999999E-2</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1.4999999999999999E-2</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1.4999999999999999E-2</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1.4999999999999999E-2</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1.4999999999999999E-2</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1.4999999999999999E-2</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1.4999999999999999E-2</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1.4999999999999999E-2</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1.4999999999999999E-2</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1.4999999999999999E-2</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1.4999999999999999E-2</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1.4999999999999999E-2</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1.4999999999999999E-2</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1.4999999999999999E-2</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1.4999999999999999E-2</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1.4999999999999999E-2</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1.4999999999999999E-2</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1.4999999999999999E-2</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1.4999999999999999E-2</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1.4999999999999999E-2</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1.4999999999999999E-2</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1.4999999999999999E-2</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1.4999999999999999E-2</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1.4999999999999999E-2</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1.4999999999999999E-2</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1.4999999999999999E-2</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1.4999999999999999E-2</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1.4999999999999999E-2</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1.4999999999999999E-2</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1.4999999999999999E-2</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1.4999999999999999E-2</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1.4999999999999999E-2</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1.4999999999999999E-2</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1.4999999999999999E-2</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1.4999999999999999E-2</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1.4999999999999999E-2</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1.4999999999999999E-2</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1.4999999999999999E-2</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1.4999999999999999E-2</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1.4999999999999999E-2</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1.4999999999999999E-2</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1.4999999999999999E-2</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1.4999999999999999E-2</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1.4999999999999999E-2</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1.4999999999999999E-2</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1.4999999999999999E-2</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1.4999999999999999E-2</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1.4999999999999999E-2</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1.4999999999999999E-2</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1.4999999999999999E-2</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1.4999999999999999E-2</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1.4999999999999999E-2</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1.4999999999999999E-2</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1.4999999999999999E-2</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1.4999999999999999E-2</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1.4999999999999999E-2</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1.4999999999999999E-2</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1.4999999999999999E-2</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1.4999999999999999E-2</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1.4999999999999999E-2</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1.4999999999999999E-2</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1.4999999999999999E-2</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1.4999999999999999E-2</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1.4999999999999999E-2</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1.4999999999999999E-2</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1.4999999999999999E-2</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1.4999999999999999E-2</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1.4999999999999999E-2</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1.4999999999999999E-2</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1.4999999999999999E-2</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1.4999999999999999E-2</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1.4999999999999999E-2</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1.4999999999999999E-2</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1.4999999999999999E-2</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1.4999999999999999E-2</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1.4999999999999999E-2</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1.4999999999999999E-2</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1.4999999999999999E-2</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1.4999999999999999E-2</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1.4999999999999999E-2</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1.4999999999999999E-2</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1.4999999999999999E-2</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1.4999999999999999E-2</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1.4999999999999999E-2</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1.4999999999999999E-2</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1.4999999999999999E-2</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1.4999999999999999E-2</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1.4999999999999999E-2</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1.4999999999999999E-2</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1.4999999999999999E-2</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1.4999999999999999E-2</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1.4999999999999999E-2</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1.4999999999999999E-2</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1.4999999999999999E-2</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1.4999999999999999E-2</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1.4999999999999999E-2</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1.4999999999999999E-2</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1.4999999999999999E-2</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1.4999999999999999E-2</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1.4999999999999999E-2</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1.4999999999999999E-2</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1.4999999999999999E-2</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1.4999999999999999E-2</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1.4999999999999999E-2</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1.4999999999999999E-2</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1.4999999999999999E-2</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1.4999999999999999E-2</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1.4999999999999999E-2</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1.4999999999999999E-2</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1.4999999999999999E-2</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1.4999999999999999E-2</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1.4999999999999999E-2</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1.4999999999999999E-2</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1.4999999999999999E-2</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1.4999999999999999E-2</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1.4999999999999999E-2</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1.4999999999999999E-2</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1.4999999999999999E-2</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1.4999999999999999E-2</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1.4999999999999999E-2</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1.4999999999999999E-2</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1.4999999999999999E-2</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1.4999999999999999E-2</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1.4999999999999999E-2</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1.4999999999999999E-2</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1.4999999999999999E-2</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1.4999999999999999E-2</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1.4999999999999999E-2</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1.4999999999999999E-2</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1.4999999999999999E-2</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1.4999999999999999E-2</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1.4999999999999999E-2</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1.4999999999999999E-2</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1.4999999999999999E-2</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1.4999999999999999E-2</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1.4999999999999999E-2</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1.4999999999999999E-2</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1.4999999999999999E-2</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1.4999999999999999E-2</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1.4999999999999999E-2</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1.4999999999999999E-2</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1.4999999999999999E-2</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1.4999999999999999E-2</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1.4999999999999999E-2</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1.4999999999999999E-2</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1.4999999999999999E-2</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1.4999999999999999E-2</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1.4999999999999999E-2</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1.4999999999999999E-2</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1.4999999999999999E-2</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1.4999999999999999E-2</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1.4999999999999999E-2</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1.4999999999999999E-2</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1.4999999999999999E-2</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1.4999999999999999E-2</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1.4999999999999999E-2</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1.4999999999999999E-2</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1.4999999999999999E-2</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1.4999999999999999E-2</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1.4999999999999999E-2</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1.4999999999999999E-2</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1.4999999999999999E-2</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1.4999999999999999E-2</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1.4999999999999999E-2</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1.4999999999999999E-2</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1.4999999999999999E-2</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1.4999999999999999E-2</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1.4999999999999999E-2</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1.4999999999999999E-2</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1.4999999999999999E-2</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1.4999999999999999E-2</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1.4999999999999999E-2</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1.4999999999999999E-2</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1.4999999999999999E-2</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1.4999999999999999E-2</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1.4999999999999999E-2</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1.4999999999999999E-2</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1.4999999999999999E-2</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1.4999999999999999E-2</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1.4999999999999999E-2</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1.4999999999999999E-2</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1.4999999999999999E-2</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1.4999999999999999E-2</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1.4999999999999999E-2</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1.4999999999999999E-2</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1.4999999999999999E-2</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1.4999999999999999E-2</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1.4999999999999999E-2</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1.4999999999999999E-2</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1.4999999999999999E-2</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1.4999999999999999E-2</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1.4999999999999999E-2</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1.4999999999999999E-2</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1.4999999999999999E-2</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1.4999999999999999E-2</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1.4999999999999999E-2</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1.4999999999999999E-2</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1.4999999999999999E-2</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1.4999999999999999E-2</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1.4999999999999999E-2</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1.4999999999999999E-2</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1.4999999999999999E-2</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1.4999999999999999E-2</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1.4999999999999999E-2</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1.4999999999999999E-2</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1.4999999999999999E-2</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1.4999999999999999E-2</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1.4999999999999999E-2</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1.4999999999999999E-2</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1.4999999999999999E-2</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1.4999999999999999E-2</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1.4999999999999999E-2</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1.4999999999999999E-2</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1.4999999999999999E-2</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1.4999999999999999E-2</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1.4999999999999999E-2</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1.4999999999999999E-2</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1.4999999999999999E-2</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1.4999999999999999E-2</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1.4999999999999999E-2</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1.4999999999999999E-2</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1.4999999999999999E-2</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1.4999999999999999E-2</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1.4999999999999999E-2</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1.4999999999999999E-2</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1.4999999999999999E-2</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1.4999999999999999E-2</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1.4999999999999999E-2</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1.4999999999999999E-2</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1.4999999999999999E-2</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1.4999999999999999E-2</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1.4999999999999999E-2</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1.4999999999999999E-2</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1.4999999999999999E-2</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1.4999999999999999E-2</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4"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2980</v>
      </c>
      <c r="B1" s="3135"/>
      <c r="C1" s="3141"/>
      <c r="D1" s="3141"/>
      <c r="E1" s="3136"/>
      <c r="F1" s="3137"/>
      <c r="G1" s="3230"/>
      <c r="J1" s="3233" t="s">
        <v>2836</v>
      </c>
      <c r="K1" s="3234"/>
      <c r="L1" s="3234"/>
      <c r="M1" s="3234"/>
      <c r="N1" s="3234"/>
      <c r="O1" s="3234"/>
      <c r="P1" s="3234"/>
      <c r="Q1" s="3234"/>
      <c r="R1" s="3235"/>
      <c r="S1" s="3236"/>
      <c r="T1" s="3236"/>
      <c r="U1" s="3236"/>
    </row>
    <row r="2" spans="1:23" s="3144" customFormat="1" ht="13.15" customHeight="1">
      <c r="A2" s="3139" t="s">
        <v>2837</v>
      </c>
      <c r="B2" s="3140" t="e">
        <f>C40</f>
        <v>#DIV/0!</v>
      </c>
      <c r="C2" s="3141" t="s">
        <v>2838</v>
      </c>
      <c r="D2" s="3141"/>
      <c r="E2" s="3142"/>
      <c r="F2" s="3143"/>
      <c r="G2" s="3237"/>
      <c r="H2" s="3238"/>
      <c r="I2" s="3239"/>
      <c r="J2" s="3628" t="s">
        <v>2839</v>
      </c>
      <c r="K2" s="3629"/>
      <c r="L2" s="3240" t="s">
        <v>2840</v>
      </c>
      <c r="M2" s="3240" t="s">
        <v>2841</v>
      </c>
      <c r="N2" s="3240" t="s">
        <v>2842</v>
      </c>
      <c r="O2" s="3240" t="s">
        <v>2843</v>
      </c>
      <c r="P2" s="3240" t="s">
        <v>2844</v>
      </c>
      <c r="Q2" s="3241" t="s">
        <v>2845</v>
      </c>
      <c r="R2" s="3242" t="s">
        <v>2846</v>
      </c>
      <c r="S2" s="3236"/>
      <c r="T2" s="3236"/>
      <c r="U2" s="3236"/>
      <c r="V2" s="3239"/>
      <c r="W2" s="3238"/>
    </row>
    <row r="3" spans="1:23" s="3144" customFormat="1" ht="13.15" customHeight="1">
      <c r="A3" s="3146" t="s">
        <v>2847</v>
      </c>
      <c r="B3" s="3147" t="e">
        <f>ROUND(B2*10000/B4,0)</f>
        <v>#DIV/0!</v>
      </c>
      <c r="C3" s="3141" t="s">
        <v>2848</v>
      </c>
      <c r="D3" s="3141"/>
      <c r="E3" s="3142"/>
      <c r="F3" s="3143"/>
      <c r="G3" s="3237"/>
      <c r="H3" s="3238"/>
      <c r="I3" s="3239"/>
      <c r="J3" s="3630" t="s">
        <v>2849</v>
      </c>
      <c r="K3" s="3631"/>
      <c r="L3" s="3243"/>
      <c r="M3" s="3243"/>
      <c r="N3" s="3243"/>
      <c r="O3" s="3243"/>
      <c r="P3" s="3243"/>
      <c r="Q3" s="3244"/>
      <c r="R3" s="3245">
        <f>SUM(L3:Q3)</f>
        <v>0</v>
      </c>
      <c r="S3" s="3236"/>
      <c r="T3" s="3236"/>
      <c r="U3" s="3236"/>
      <c r="V3" s="3239"/>
      <c r="W3" s="3238"/>
    </row>
    <row r="4" spans="1:23" s="3144" customFormat="1" ht="13.15" customHeight="1">
      <c r="A4" s="3148" t="s">
        <v>2850</v>
      </c>
      <c r="B4" s="3205"/>
      <c r="C4" s="3141"/>
      <c r="D4" s="3141"/>
      <c r="E4" s="3142"/>
      <c r="F4" s="3143"/>
      <c r="G4" s="3237"/>
      <c r="H4" s="3238"/>
      <c r="I4" s="3239"/>
      <c r="J4" s="3630" t="s">
        <v>2851</v>
      </c>
      <c r="K4" s="3631"/>
      <c r="L4" s="3246"/>
      <c r="M4" s="3246"/>
      <c r="N4" s="3246"/>
      <c r="O4" s="3246"/>
      <c r="P4" s="3246"/>
      <c r="Q4" s="3247"/>
      <c r="R4" s="3248">
        <f>SUM(L4:Q4)</f>
        <v>0</v>
      </c>
      <c r="S4" s="3236"/>
      <c r="T4" s="3236"/>
      <c r="U4" s="3236"/>
      <c r="V4" s="3239"/>
      <c r="W4" s="3238"/>
    </row>
    <row r="5" spans="1:23" s="3144" customFormat="1" ht="13.15" customHeight="1" thickBot="1">
      <c r="A5" s="3149" t="s">
        <v>2852</v>
      </c>
      <c r="B5" s="3206"/>
      <c r="C5" s="3141"/>
      <c r="D5" s="3150"/>
      <c r="E5" s="3143"/>
      <c r="F5" s="3143"/>
      <c r="G5" s="3237"/>
      <c r="H5" s="3238"/>
      <c r="I5" s="3239"/>
      <c r="J5" s="3249" t="s">
        <v>2853</v>
      </c>
      <c r="K5" s="3250"/>
      <c r="L5" s="3250"/>
      <c r="M5" s="3251"/>
      <c r="N5" s="3251"/>
      <c r="O5" s="3251"/>
      <c r="P5" s="3251"/>
      <c r="Q5" s="3251"/>
      <c r="R5" s="3242">
        <f>SUM(R14,R19,R24,R25,R27,R28)</f>
        <v>0</v>
      </c>
      <c r="S5" s="3236"/>
      <c r="T5" s="3236" t="s">
        <v>2854</v>
      </c>
      <c r="U5" s="3236" t="e">
        <f>ROUND(R5*10000/365/R3,1)</f>
        <v>#DIV/0!</v>
      </c>
      <c r="V5" s="3239"/>
      <c r="W5" s="3238"/>
    </row>
    <row r="6" spans="1:23" s="3144" customFormat="1" ht="13.15" customHeight="1" thickBot="1">
      <c r="A6" s="3636" t="s">
        <v>2855</v>
      </c>
      <c r="B6" s="3637"/>
      <c r="C6" s="3638"/>
      <c r="D6" s="3207"/>
      <c r="E6" s="3151"/>
      <c r="F6" s="3152"/>
      <c r="G6" s="3252"/>
      <c r="H6" s="3238"/>
      <c r="I6" s="3239"/>
      <c r="J6" s="3622">
        <v>1</v>
      </c>
      <c r="K6" s="3623" t="s">
        <v>2856</v>
      </c>
      <c r="L6" s="3253" t="s">
        <v>2857</v>
      </c>
      <c r="M6" s="3254" t="s">
        <v>2858</v>
      </c>
      <c r="N6" s="3254" t="s">
        <v>2859</v>
      </c>
      <c r="O6" s="3254" t="s">
        <v>2860</v>
      </c>
      <c r="P6" s="3254" t="s">
        <v>2861</v>
      </c>
      <c r="Q6" s="3254" t="s">
        <v>2862</v>
      </c>
      <c r="R6" s="3245" t="s">
        <v>2863</v>
      </c>
      <c r="S6" s="3236"/>
      <c r="T6" s="3236" t="s">
        <v>2864</v>
      </c>
      <c r="U6" s="3236"/>
      <c r="V6" s="3239"/>
      <c r="W6" s="3238"/>
    </row>
    <row r="7" spans="1:23" s="3144" customFormat="1" ht="13.15" customHeight="1">
      <c r="A7" s="3154" t="s">
        <v>2865</v>
      </c>
      <c r="B7" s="3155"/>
      <c r="C7" s="3156"/>
      <c r="D7" s="3157">
        <f>SUM(D9,D10,D11,D17,0)</f>
        <v>0</v>
      </c>
      <c r="E7" s="3158" t="e">
        <f>E9+E10+E11+E17</f>
        <v>#DIV/0!</v>
      </c>
      <c r="F7" s="3159"/>
      <c r="G7" s="3255"/>
      <c r="H7" s="3238"/>
      <c r="I7" s="3239"/>
      <c r="J7" s="3622"/>
      <c r="K7" s="3624"/>
      <c r="L7" s="3256" t="s">
        <v>2965</v>
      </c>
      <c r="M7" s="3257"/>
      <c r="N7" s="3257"/>
      <c r="O7" s="3258"/>
      <c r="P7" s="3258"/>
      <c r="Q7" s="3259">
        <v>365</v>
      </c>
      <c r="R7" s="3260">
        <f>ROUND(M7*N7*O7*P7*Q7/10000,0)</f>
        <v>0</v>
      </c>
      <c r="S7" s="3236"/>
      <c r="T7" s="3236" t="s">
        <v>2866</v>
      </c>
      <c r="U7" s="3236"/>
      <c r="V7" s="3239"/>
      <c r="W7" s="3238"/>
    </row>
    <row r="8" spans="1:23" s="3144" customFormat="1" ht="13.15" customHeight="1">
      <c r="A8" s="3160" t="s">
        <v>2867</v>
      </c>
      <c r="B8" s="3639" t="s">
        <v>2868</v>
      </c>
      <c r="C8" s="3640"/>
      <c r="D8" s="3161" t="s">
        <v>2869</v>
      </c>
      <c r="E8" s="3162" t="s">
        <v>2870</v>
      </c>
      <c r="F8" s="3145" t="s">
        <v>2871</v>
      </c>
      <c r="G8" s="3315" t="s">
        <v>2979</v>
      </c>
      <c r="H8" s="3238"/>
      <c r="I8" s="3239"/>
      <c r="J8" s="3622"/>
      <c r="K8" s="3624"/>
      <c r="L8" s="3256" t="s">
        <v>2966</v>
      </c>
      <c r="M8" s="3257"/>
      <c r="N8" s="3257"/>
      <c r="O8" s="3258"/>
      <c r="P8" s="3258"/>
      <c r="Q8" s="3259">
        <v>365</v>
      </c>
      <c r="R8" s="3260">
        <f t="shared" ref="R8:R13" si="0">ROUND(M8*N8*O8*P8*Q8/10000,0)</f>
        <v>0</v>
      </c>
      <c r="S8" s="3236"/>
      <c r="T8" s="3236" t="s">
        <v>2872</v>
      </c>
      <c r="U8" s="3236"/>
      <c r="V8" s="3239"/>
      <c r="W8" s="3238"/>
    </row>
    <row r="9" spans="1:23" s="3144" customFormat="1" ht="13.15" customHeight="1">
      <c r="A9" s="3160">
        <v>1</v>
      </c>
      <c r="B9" s="3639" t="s">
        <v>2873</v>
      </c>
      <c r="C9" s="3640"/>
      <c r="D9" s="3161">
        <f>ROUND(D6*E9,0)</f>
        <v>0</v>
      </c>
      <c r="E9" s="3208"/>
      <c r="F9" s="3163" t="s">
        <v>2874</v>
      </c>
      <c r="G9" s="3261" t="s">
        <v>2977</v>
      </c>
      <c r="H9" s="3238"/>
      <c r="I9" s="3239"/>
      <c r="J9" s="3622"/>
      <c r="K9" s="3624"/>
      <c r="L9" s="3256" t="s">
        <v>2967</v>
      </c>
      <c r="M9" s="3257"/>
      <c r="N9" s="3257"/>
      <c r="O9" s="3258"/>
      <c r="P9" s="3258"/>
      <c r="Q9" s="3259">
        <v>365</v>
      </c>
      <c r="R9" s="3260">
        <f t="shared" si="0"/>
        <v>0</v>
      </c>
      <c r="S9" s="3236"/>
      <c r="T9" s="3236"/>
      <c r="U9" s="3236"/>
      <c r="V9" s="3239"/>
      <c r="W9" s="3238"/>
    </row>
    <row r="10" spans="1:23" s="3144" customFormat="1" ht="13.15" customHeight="1">
      <c r="A10" s="3160">
        <v>2</v>
      </c>
      <c r="B10" s="3639" t="s">
        <v>2875</v>
      </c>
      <c r="C10" s="3640"/>
      <c r="D10" s="3161">
        <f>ROUND(D6*E10,0)</f>
        <v>0</v>
      </c>
      <c r="E10" s="3208"/>
      <c r="F10" s="3163" t="s">
        <v>2876</v>
      </c>
      <c r="G10" s="3261" t="s">
        <v>2978</v>
      </c>
      <c r="H10" s="3238"/>
      <c r="I10" s="3239"/>
      <c r="J10" s="3622"/>
      <c r="K10" s="3624"/>
      <c r="L10" s="3256" t="s">
        <v>2968</v>
      </c>
      <c r="M10" s="3257"/>
      <c r="N10" s="3257"/>
      <c r="O10" s="3258"/>
      <c r="P10" s="3258"/>
      <c r="Q10" s="3259">
        <v>365</v>
      </c>
      <c r="R10" s="3260">
        <f t="shared" si="0"/>
        <v>0</v>
      </c>
      <c r="S10" s="3236"/>
      <c r="T10" s="3236"/>
      <c r="U10" s="3236"/>
      <c r="V10" s="3239"/>
      <c r="W10" s="3238"/>
    </row>
    <row r="11" spans="1:23" s="3144" customFormat="1" ht="13.15" customHeight="1">
      <c r="A11" s="3160">
        <v>3</v>
      </c>
      <c r="B11" s="3639" t="s">
        <v>2877</v>
      </c>
      <c r="C11" s="3640"/>
      <c r="D11" s="3161">
        <f>D12+D14+D15+D16</f>
        <v>0</v>
      </c>
      <c r="E11" s="3164" t="e">
        <f>D11/D6</f>
        <v>#DIV/0!</v>
      </c>
      <c r="F11" s="3145"/>
      <c r="G11" s="3261"/>
      <c r="H11" s="3238"/>
      <c r="I11" s="3239"/>
      <c r="J11" s="3622"/>
      <c r="K11" s="3624"/>
      <c r="L11" s="3256" t="s">
        <v>2969</v>
      </c>
      <c r="M11" s="3257"/>
      <c r="N11" s="3257"/>
      <c r="O11" s="3258"/>
      <c r="P11" s="3258"/>
      <c r="Q11" s="3259">
        <v>365</v>
      </c>
      <c r="R11" s="3260">
        <f t="shared" si="0"/>
        <v>0</v>
      </c>
      <c r="S11" s="3236"/>
      <c r="T11" s="3236"/>
      <c r="U11" s="3236"/>
      <c r="V11" s="3239"/>
      <c r="W11" s="3238"/>
    </row>
    <row r="12" spans="1:23" s="3144" customFormat="1" ht="13.15" customHeight="1">
      <c r="A12" s="3165" t="s">
        <v>2878</v>
      </c>
      <c r="B12" s="3632" t="s">
        <v>2879</v>
      </c>
      <c r="C12" s="3633"/>
      <c r="D12" s="3166">
        <f>ROUND(D13*1.2%*(1-30%),0)</f>
        <v>0</v>
      </c>
      <c r="E12" s="3167">
        <v>1.2E-2</v>
      </c>
      <c r="F12" s="3145" t="s">
        <v>2880</v>
      </c>
      <c r="G12" s="3261"/>
      <c r="H12" s="3238"/>
      <c r="I12" s="3239"/>
      <c r="J12" s="3622"/>
      <c r="K12" s="3624"/>
      <c r="L12" s="3256" t="s">
        <v>2970</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2881</v>
      </c>
      <c r="D13" s="3209"/>
      <c r="E13" s="3170"/>
      <c r="F13" s="3145"/>
      <c r="G13" s="3261"/>
      <c r="H13" s="3238"/>
      <c r="I13" s="3239"/>
      <c r="J13" s="3622"/>
      <c r="K13" s="3624"/>
      <c r="L13" s="3256" t="s">
        <v>2971</v>
      </c>
      <c r="M13" s="3257"/>
      <c r="N13" s="3257"/>
      <c r="O13" s="3258"/>
      <c r="P13" s="3258"/>
      <c r="Q13" s="3259">
        <v>365</v>
      </c>
      <c r="R13" s="3260">
        <f t="shared" si="0"/>
        <v>0</v>
      </c>
      <c r="S13" s="3236"/>
      <c r="T13" s="3236"/>
      <c r="U13" s="3236"/>
      <c r="V13" s="3239"/>
      <c r="W13" s="3238"/>
    </row>
    <row r="14" spans="1:23" s="3144" customFormat="1" ht="13.15" customHeight="1">
      <c r="A14" s="3165" t="s">
        <v>2882</v>
      </c>
      <c r="B14" s="3632" t="s">
        <v>2883</v>
      </c>
      <c r="C14" s="3633"/>
      <c r="D14" s="3166">
        <f>ROUND(E14*B5/10000,0)</f>
        <v>0</v>
      </c>
      <c r="E14" s="3210"/>
      <c r="F14" s="3145" t="s">
        <v>2884</v>
      </c>
      <c r="G14" s="3261"/>
      <c r="H14" s="3238"/>
      <c r="I14" s="3239"/>
      <c r="J14" s="3622"/>
      <c r="K14" s="3625"/>
      <c r="L14" s="3262" t="s">
        <v>2885</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2886</v>
      </c>
      <c r="B15" s="3632" t="s">
        <v>2887</v>
      </c>
      <c r="C15" s="3633"/>
      <c r="D15" s="3166">
        <f>ROUND(D6*E15,0)</f>
        <v>0</v>
      </c>
      <c r="E15" s="3167">
        <v>5.5E-2</v>
      </c>
      <c r="F15" s="3145" t="s">
        <v>2888</v>
      </c>
      <c r="G15" s="3261"/>
      <c r="H15" s="3238"/>
      <c r="I15" s="3239"/>
      <c r="J15" s="3622">
        <v>2</v>
      </c>
      <c r="K15" s="3623" t="s">
        <v>2889</v>
      </c>
      <c r="L15" s="3266" t="s">
        <v>2890</v>
      </c>
      <c r="M15" s="3267" t="s">
        <v>2891</v>
      </c>
      <c r="N15" s="3267" t="s">
        <v>2892</v>
      </c>
      <c r="O15" s="3268" t="s">
        <v>2893</v>
      </c>
      <c r="P15" s="3268" t="s">
        <v>2894</v>
      </c>
      <c r="Q15" s="3205" t="s">
        <v>2895</v>
      </c>
      <c r="R15" s="3269" t="s">
        <v>2896</v>
      </c>
      <c r="S15" s="3236"/>
      <c r="T15" s="3236"/>
      <c r="U15" s="3236"/>
      <c r="V15" s="3239"/>
      <c r="W15" s="3238"/>
    </row>
    <row r="16" spans="1:23" s="3144" customFormat="1" ht="13.15" customHeight="1">
      <c r="A16" s="3165" t="s">
        <v>2897</v>
      </c>
      <c r="B16" s="3632" t="s">
        <v>2898</v>
      </c>
      <c r="C16" s="3633"/>
      <c r="D16" s="3211">
        <f>D6*E16</f>
        <v>0</v>
      </c>
      <c r="E16" s="3212"/>
      <c r="F16" s="3163" t="s">
        <v>2899</v>
      </c>
      <c r="G16" s="3261"/>
      <c r="H16" s="3238"/>
      <c r="I16" s="3239"/>
      <c r="J16" s="3622"/>
      <c r="K16" s="3624"/>
      <c r="L16" s="3256" t="s">
        <v>2972</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634" t="s">
        <v>2900</v>
      </c>
      <c r="C17" s="3635"/>
      <c r="D17" s="3172">
        <f>ROUND(D6*E17,0)</f>
        <v>0</v>
      </c>
      <c r="E17" s="3213"/>
      <c r="F17" s="3173" t="s">
        <v>2901</v>
      </c>
      <c r="G17" s="3314">
        <v>0.1</v>
      </c>
      <c r="H17" s="3238"/>
      <c r="I17" s="3239"/>
      <c r="J17" s="3622"/>
      <c r="K17" s="3624"/>
      <c r="L17" s="3256" t="s">
        <v>2973</v>
      </c>
      <c r="M17" s="3257"/>
      <c r="N17" s="3257"/>
      <c r="O17" s="3258"/>
      <c r="P17" s="3259">
        <v>365</v>
      </c>
      <c r="Q17" s="3257"/>
      <c r="R17" s="3270">
        <f>ROUND(M17*N17*O17*P17/10000,0)</f>
        <v>0</v>
      </c>
      <c r="S17" s="3236"/>
      <c r="T17" s="3236"/>
      <c r="U17" s="3236"/>
      <c r="V17" s="3239"/>
      <c r="W17" s="3238"/>
    </row>
    <row r="18" spans="1:23" s="3144" customFormat="1" ht="13.15" customHeight="1" thickBot="1">
      <c r="A18" s="3154" t="s">
        <v>2902</v>
      </c>
      <c r="B18" s="3155"/>
      <c r="C18" s="3155"/>
      <c r="D18" s="3174">
        <f>ROUND(D6*E18,0)</f>
        <v>0</v>
      </c>
      <c r="E18" s="3214"/>
      <c r="F18" s="3175" t="s">
        <v>2903</v>
      </c>
      <c r="G18" s="3314">
        <v>0.05</v>
      </c>
      <c r="H18" s="3238"/>
      <c r="I18" s="3239"/>
      <c r="J18" s="3622"/>
      <c r="K18" s="3624"/>
      <c r="L18" s="3256" t="s">
        <v>2974</v>
      </c>
      <c r="M18" s="3257"/>
      <c r="N18" s="3257"/>
      <c r="O18" s="3258"/>
      <c r="P18" s="3259">
        <v>365</v>
      </c>
      <c r="Q18" s="3257"/>
      <c r="R18" s="3270">
        <f>ROUND(M18*N18*O18*P18/10000,0)</f>
        <v>0</v>
      </c>
      <c r="S18" s="3236"/>
      <c r="T18" s="3236"/>
      <c r="U18" s="3236"/>
      <c r="V18" s="3239"/>
      <c r="W18" s="3238"/>
    </row>
    <row r="19" spans="1:23" s="3144" customFormat="1" ht="13.15" customHeight="1" thickBot="1">
      <c r="A19" s="3176" t="s">
        <v>2904</v>
      </c>
      <c r="B19" s="3151"/>
      <c r="C19" s="3151"/>
      <c r="D19" s="3151"/>
      <c r="E19" s="3151"/>
      <c r="F19" s="3152"/>
      <c r="G19" s="3261"/>
      <c r="H19" s="3238"/>
      <c r="I19" s="3239"/>
      <c r="J19" s="3622"/>
      <c r="K19" s="3625"/>
      <c r="L19" s="3262" t="s">
        <v>2885</v>
      </c>
      <c r="M19" s="3263"/>
      <c r="N19" s="3263">
        <f>SUM(N16:N18)</f>
        <v>0</v>
      </c>
      <c r="O19" s="3264"/>
      <c r="P19" s="3271" t="s">
        <v>2975</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622">
        <v>3</v>
      </c>
      <c r="K20" s="3623" t="s">
        <v>2905</v>
      </c>
      <c r="L20" s="3266" t="s">
        <v>2906</v>
      </c>
      <c r="M20" s="3267" t="s">
        <v>2907</v>
      </c>
      <c r="N20" s="3273" t="s">
        <v>2908</v>
      </c>
      <c r="O20" s="3268" t="s">
        <v>2909</v>
      </c>
      <c r="P20" s="3210" t="s">
        <v>2894</v>
      </c>
      <c r="Q20" s="3205" t="s">
        <v>2895</v>
      </c>
      <c r="R20" s="3269" t="s">
        <v>2896</v>
      </c>
      <c r="S20" s="3274"/>
      <c r="T20" s="3274"/>
      <c r="U20" s="3274"/>
      <c r="V20" s="3239"/>
      <c r="W20" s="3238"/>
    </row>
    <row r="21" spans="1:23" s="3144" customFormat="1" ht="13.15" customHeight="1">
      <c r="A21" s="3154"/>
      <c r="B21" s="3155"/>
      <c r="C21" s="3178" t="s">
        <v>2910</v>
      </c>
      <c r="D21" s="3179" t="s">
        <v>2911</v>
      </c>
      <c r="E21" s="3180" t="s">
        <v>2912</v>
      </c>
      <c r="F21" s="3177"/>
      <c r="G21" s="3261"/>
      <c r="H21" s="3238"/>
      <c r="I21" s="3239"/>
      <c r="J21" s="3622"/>
      <c r="K21" s="3624"/>
      <c r="L21" s="3266" t="s">
        <v>2913</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2914</v>
      </c>
      <c r="D22" s="3216" t="s">
        <v>2915</v>
      </c>
      <c r="E22" s="3217" t="s">
        <v>2916</v>
      </c>
      <c r="F22" s="3177"/>
      <c r="G22" s="3276"/>
      <c r="H22" s="3238"/>
      <c r="I22" s="3239"/>
      <c r="J22" s="3622"/>
      <c r="K22" s="3624"/>
      <c r="L22" s="3266" t="s">
        <v>2917</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2918</v>
      </c>
      <c r="C23" s="3182">
        <f>D6</f>
        <v>0</v>
      </c>
      <c r="D23" s="3183">
        <f>C23*(1+D24)</f>
        <v>0</v>
      </c>
      <c r="E23" s="3184">
        <f>D23*(1+E24)</f>
        <v>0</v>
      </c>
      <c r="F23" s="3185"/>
      <c r="G23" s="3277"/>
      <c r="H23" s="3238"/>
      <c r="I23" s="3239"/>
      <c r="J23" s="3622"/>
      <c r="K23" s="3624"/>
      <c r="L23" s="3266" t="s">
        <v>2919</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2920</v>
      </c>
      <c r="C24" s="3188"/>
      <c r="D24" s="3218"/>
      <c r="E24" s="3219"/>
      <c r="F24" s="3189"/>
      <c r="G24" s="3277"/>
      <c r="H24" s="3238"/>
      <c r="I24" s="3239"/>
      <c r="J24" s="3622"/>
      <c r="K24" s="3625"/>
      <c r="L24" s="3262" t="s">
        <v>2885</v>
      </c>
      <c r="M24" s="3263">
        <f>SUM(M21:M23)</f>
        <v>0</v>
      </c>
      <c r="N24" s="3263"/>
      <c r="O24" s="3264"/>
      <c r="P24" s="3271" t="s">
        <v>2975</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2921</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2922</v>
      </c>
      <c r="C26" s="3182">
        <f>D7</f>
        <v>0</v>
      </c>
      <c r="D26" s="3183">
        <f>D23*D27</f>
        <v>0</v>
      </c>
      <c r="E26" s="3184">
        <f>E23*E27</f>
        <v>0</v>
      </c>
      <c r="F26" s="3185"/>
      <c r="G26" s="3277"/>
      <c r="H26" s="3238"/>
      <c r="I26" s="3239"/>
      <c r="J26" s="3626">
        <v>5</v>
      </c>
      <c r="K26" s="3285" t="s">
        <v>2923</v>
      </c>
      <c r="L26" s="3286"/>
      <c r="M26" s="3287"/>
      <c r="N26" s="3288" t="s">
        <v>2924</v>
      </c>
      <c r="O26" s="3288" t="s">
        <v>2925</v>
      </c>
      <c r="P26" s="3289" t="s">
        <v>2926</v>
      </c>
      <c r="Q26" s="3289" t="s">
        <v>2927</v>
      </c>
      <c r="R26" s="3245" t="s">
        <v>2896</v>
      </c>
      <c r="S26" s="3290"/>
      <c r="T26" s="3290"/>
      <c r="U26" s="3290"/>
      <c r="V26" s="3283"/>
      <c r="W26" s="3284"/>
    </row>
    <row r="27" spans="1:23" s="3144" customFormat="1" ht="13.15" customHeight="1">
      <c r="A27" s="3186"/>
      <c r="B27" s="3187" t="s">
        <v>2928</v>
      </c>
      <c r="C27" s="3191" t="e">
        <f>E7</f>
        <v>#DIV/0!</v>
      </c>
      <c r="D27" s="3218"/>
      <c r="E27" s="3219"/>
      <c r="F27" s="3189"/>
      <c r="G27" s="3277"/>
      <c r="H27" s="3284"/>
      <c r="I27" s="3283"/>
      <c r="J27" s="3627"/>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2929</v>
      </c>
      <c r="F28" s="3189"/>
      <c r="G28" s="3276"/>
      <c r="H28" s="3284"/>
      <c r="I28" s="3283"/>
      <c r="J28" s="3296">
        <v>6</v>
      </c>
      <c r="K28" s="3297" t="s">
        <v>2930</v>
      </c>
      <c r="L28" s="3298" t="s">
        <v>2931</v>
      </c>
      <c r="M28" s="3299"/>
      <c r="N28" s="3298" t="s">
        <v>2932</v>
      </c>
      <c r="O28" s="3300"/>
      <c r="P28" s="3298" t="s">
        <v>2933</v>
      </c>
      <c r="Q28" s="3301">
        <v>1.4999999999999999E-2</v>
      </c>
      <c r="R28" s="3302"/>
      <c r="S28" s="3274"/>
      <c r="T28" s="3274"/>
      <c r="U28" s="3274"/>
      <c r="V28" s="3283"/>
      <c r="W28" s="3284"/>
    </row>
    <row r="29" spans="1:23" s="3190" customFormat="1" ht="13.15" customHeight="1">
      <c r="A29" s="3181">
        <v>3</v>
      </c>
      <c r="B29" s="3153" t="s">
        <v>2934</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2928</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2935</v>
      </c>
      <c r="K31" s="3234"/>
      <c r="L31" s="3234"/>
      <c r="M31" s="3234"/>
      <c r="N31" s="3234"/>
      <c r="O31" s="3234"/>
      <c r="P31" s="3234"/>
      <c r="Q31" s="3234"/>
      <c r="R31" s="3235"/>
      <c r="S31" s="3274"/>
      <c r="T31" s="3236"/>
      <c r="U31" s="3236"/>
      <c r="V31" s="3283"/>
      <c r="W31" s="3284"/>
    </row>
    <row r="32" spans="1:23" s="3190" customFormat="1" ht="13.15" customHeight="1">
      <c r="A32" s="3181">
        <v>4</v>
      </c>
      <c r="B32" s="3153" t="s">
        <v>2936</v>
      </c>
      <c r="C32" s="3182">
        <f>C23-C26-C29</f>
        <v>0</v>
      </c>
      <c r="D32" s="3183">
        <f>D23-D26-D29</f>
        <v>0</v>
      </c>
      <c r="E32" s="3184">
        <f>E23-E26-E29</f>
        <v>0</v>
      </c>
      <c r="F32" s="3185"/>
      <c r="G32" s="3276"/>
      <c r="H32" s="3238"/>
      <c r="I32" s="3239"/>
      <c r="J32" s="3628" t="s">
        <v>2937</v>
      </c>
      <c r="K32" s="3629"/>
      <c r="L32" s="3240" t="s">
        <v>2938</v>
      </c>
      <c r="M32" s="3240" t="s">
        <v>2841</v>
      </c>
      <c r="N32" s="3240" t="s">
        <v>2842</v>
      </c>
      <c r="O32" s="3240" t="s">
        <v>2843</v>
      </c>
      <c r="P32" s="3240" t="s">
        <v>2844</v>
      </c>
      <c r="Q32" s="3241" t="s">
        <v>2939</v>
      </c>
      <c r="R32" s="3303" t="s">
        <v>2940</v>
      </c>
      <c r="S32" s="3274"/>
      <c r="T32" s="3236"/>
      <c r="U32" s="3236"/>
      <c r="V32" s="3283"/>
      <c r="W32" s="3284"/>
    </row>
    <row r="33" spans="1:23" s="3144" customFormat="1" ht="13.15" customHeight="1">
      <c r="A33" s="3181"/>
      <c r="B33" s="3153"/>
      <c r="C33" s="3182"/>
      <c r="D33" s="3193"/>
      <c r="E33" s="3194"/>
      <c r="F33" s="3185"/>
      <c r="G33" s="3276"/>
      <c r="H33" s="3284"/>
      <c r="I33" s="3283"/>
      <c r="J33" s="3630" t="s">
        <v>2941</v>
      </c>
      <c r="K33" s="3631"/>
      <c r="L33" s="3243"/>
      <c r="M33" s="3243"/>
      <c r="N33" s="3243"/>
      <c r="O33" s="3243"/>
      <c r="P33" s="3243"/>
      <c r="Q33" s="3244"/>
      <c r="R33" s="3304">
        <f>SUM(L33:Q33)</f>
        <v>0</v>
      </c>
      <c r="S33" s="3274"/>
      <c r="T33" s="3236"/>
      <c r="U33" s="3236"/>
      <c r="V33" s="3239"/>
      <c r="W33" s="3238"/>
    </row>
    <row r="34" spans="1:23" s="3144" customFormat="1" ht="13.15" customHeight="1">
      <c r="A34" s="3181">
        <v>5</v>
      </c>
      <c r="B34" s="3153" t="s">
        <v>2942</v>
      </c>
      <c r="C34" s="3221"/>
      <c r="D34" s="3222"/>
      <c r="E34" s="3223"/>
      <c r="F34" s="3185"/>
      <c r="G34" s="3276"/>
      <c r="H34" s="3284"/>
      <c r="I34" s="3283"/>
      <c r="J34" s="3630" t="s">
        <v>2943</v>
      </c>
      <c r="K34" s="3631"/>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2944</v>
      </c>
      <c r="C35" s="3224"/>
      <c r="D35" s="3225"/>
      <c r="E35" s="3226"/>
      <c r="F35" s="3185"/>
      <c r="G35" s="3306"/>
      <c r="H35" s="3238"/>
      <c r="I35" s="3283"/>
      <c r="J35" s="3249" t="s">
        <v>2945</v>
      </c>
      <c r="K35" s="3250"/>
      <c r="L35" s="3250"/>
      <c r="M35" s="3251"/>
      <c r="N35" s="3251"/>
      <c r="O35" s="3251"/>
      <c r="P35" s="3251"/>
      <c r="Q35" s="3251"/>
      <c r="R35" s="3307">
        <f>R40+R41+R43</f>
        <v>0</v>
      </c>
      <c r="S35" s="3274"/>
      <c r="T35" s="3236" t="s">
        <v>2946</v>
      </c>
      <c r="U35" s="3236"/>
      <c r="V35" s="3239"/>
      <c r="W35" s="3238"/>
    </row>
    <row r="36" spans="1:23" s="3144" customFormat="1" ht="13.15" customHeight="1" thickBot="1">
      <c r="A36" s="3181">
        <v>7</v>
      </c>
      <c r="B36" s="3195" t="s">
        <v>2947</v>
      </c>
      <c r="C36" s="3227"/>
      <c r="D36" s="3228"/>
      <c r="E36" s="3229"/>
      <c r="F36" s="3196">
        <f>C36+D36+E36</f>
        <v>0</v>
      </c>
      <c r="G36" s="3276"/>
      <c r="H36" s="3238"/>
      <c r="I36" s="3239"/>
      <c r="J36" s="3622">
        <v>1</v>
      </c>
      <c r="K36" s="3623" t="s">
        <v>2948</v>
      </c>
      <c r="L36" s="3253"/>
      <c r="M36" s="3254"/>
      <c r="N36" s="3254"/>
      <c r="O36" s="3254"/>
      <c r="P36" s="3254"/>
      <c r="Q36" s="3254"/>
      <c r="R36" s="3245" t="s">
        <v>2896</v>
      </c>
      <c r="S36" s="3274"/>
      <c r="T36" s="3236" t="s">
        <v>2949</v>
      </c>
      <c r="U36" s="3236"/>
      <c r="V36" s="3239"/>
      <c r="W36" s="3238"/>
    </row>
    <row r="37" spans="1:23" s="3144" customFormat="1" ht="13.15" customHeight="1">
      <c r="A37" s="3181"/>
      <c r="B37" s="3153"/>
      <c r="C37" s="3153"/>
      <c r="D37" s="3153"/>
      <c r="E37" s="3153"/>
      <c r="F37" s="3185"/>
      <c r="G37" s="3276"/>
      <c r="H37" s="3238"/>
      <c r="I37" s="3239"/>
      <c r="J37" s="3622"/>
      <c r="K37" s="3624"/>
      <c r="L37" s="3266"/>
      <c r="M37" s="3267"/>
      <c r="N37" s="3205"/>
      <c r="O37" s="3268"/>
      <c r="P37" s="3268"/>
      <c r="Q37" s="3210"/>
      <c r="R37" s="3308"/>
      <c r="S37" s="3274"/>
      <c r="T37" s="3236" t="s">
        <v>2950</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622"/>
      <c r="K38" s="3624"/>
      <c r="L38" s="3266"/>
      <c r="M38" s="3267"/>
      <c r="N38" s="3205"/>
      <c r="O38" s="3268"/>
      <c r="P38" s="3268"/>
      <c r="Q38" s="3210"/>
      <c r="R38" s="3308"/>
      <c r="S38" s="3274"/>
      <c r="T38" s="3236" t="s">
        <v>2872</v>
      </c>
      <c r="U38" s="3236"/>
      <c r="V38" s="3239"/>
      <c r="W38" s="3238"/>
    </row>
    <row r="39" spans="1:23" s="3144" customFormat="1" ht="13.15" customHeight="1">
      <c r="A39" s="3181">
        <v>9</v>
      </c>
      <c r="B39" s="3153" t="s">
        <v>2951</v>
      </c>
      <c r="C39" s="3166" t="e">
        <f>C38</f>
        <v>#DIV/0!</v>
      </c>
      <c r="D39" s="3153">
        <f>D38/(1+D34)^C36</f>
        <v>0</v>
      </c>
      <c r="E39" s="3153">
        <f>E38/(1+E34)^(C36+D36)</f>
        <v>0</v>
      </c>
      <c r="F39" s="3185"/>
      <c r="G39" s="3309"/>
      <c r="H39" s="3238"/>
      <c r="I39" s="3239"/>
      <c r="J39" s="3622"/>
      <c r="K39" s="3624"/>
      <c r="L39" s="3266"/>
      <c r="M39" s="3267"/>
      <c r="N39" s="3205"/>
      <c r="O39" s="3268"/>
      <c r="P39" s="3268"/>
      <c r="Q39" s="3210"/>
      <c r="R39" s="3308"/>
      <c r="S39" s="3274"/>
      <c r="T39" s="3236"/>
      <c r="U39" s="3236"/>
      <c r="V39" s="3239"/>
      <c r="W39" s="3238"/>
    </row>
    <row r="40" spans="1:23" s="3144" customFormat="1" ht="13.15" customHeight="1">
      <c r="A40" s="3197">
        <v>10</v>
      </c>
      <c r="B40" s="3153" t="s">
        <v>2952</v>
      </c>
      <c r="C40" s="3198" t="e">
        <f>C39+D39+E39</f>
        <v>#DIV/0!</v>
      </c>
      <c r="D40" s="3199"/>
      <c r="E40" s="3199"/>
      <c r="F40" s="3200"/>
      <c r="G40" s="3276"/>
      <c r="H40" s="3238"/>
      <c r="I40" s="3239"/>
      <c r="J40" s="3622"/>
      <c r="K40" s="3625"/>
      <c r="L40" s="3262" t="s">
        <v>2953</v>
      </c>
      <c r="M40" s="3263"/>
      <c r="N40" s="3263"/>
      <c r="O40" s="3264"/>
      <c r="P40" s="3264"/>
      <c r="Q40" s="3265"/>
      <c r="R40" s="3242">
        <f>SUM(R37:R39)</f>
        <v>0</v>
      </c>
      <c r="S40" s="3274"/>
      <c r="T40" s="3236"/>
      <c r="U40" s="3236"/>
      <c r="V40" s="3239"/>
      <c r="W40" s="3238"/>
    </row>
    <row r="41" spans="1:23" s="3144" customFormat="1" ht="13.15" customHeight="1" thickBot="1">
      <c r="A41" s="3201">
        <v>11</v>
      </c>
      <c r="B41" s="3202" t="s">
        <v>2954</v>
      </c>
      <c r="C41" s="3202" t="e">
        <f>ROUND(C40*10000/B4,0)</f>
        <v>#DIV/0!</v>
      </c>
      <c r="D41" s="3203"/>
      <c r="E41" s="3203"/>
      <c r="F41" s="3204"/>
      <c r="G41" s="3310"/>
      <c r="H41" s="3238"/>
      <c r="I41" s="3239"/>
      <c r="J41" s="3278">
        <v>2</v>
      </c>
      <c r="K41" s="3279" t="s">
        <v>2955</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626">
        <v>3</v>
      </c>
      <c r="K42" s="3285" t="s">
        <v>2956</v>
      </c>
      <c r="L42" s="3286"/>
      <c r="M42" s="3287"/>
      <c r="N42" s="3288" t="s">
        <v>2957</v>
      </c>
      <c r="O42" s="3288" t="s">
        <v>2958</v>
      </c>
      <c r="P42" s="3289" t="s">
        <v>2959</v>
      </c>
      <c r="Q42" s="3289" t="s">
        <v>2960</v>
      </c>
      <c r="R42" s="3245" t="s">
        <v>2863</v>
      </c>
      <c r="S42" s="3290"/>
      <c r="T42" s="3290"/>
      <c r="U42" s="3236"/>
      <c r="V42" s="3239"/>
      <c r="W42" s="3238"/>
    </row>
    <row r="43" spans="1:23" ht="13.15" customHeight="1">
      <c r="A43" s="3144"/>
      <c r="B43" s="3144"/>
      <c r="C43" s="3144"/>
      <c r="D43" s="3144"/>
      <c r="E43" s="3144"/>
      <c r="F43" s="3144"/>
      <c r="I43" s="3231"/>
      <c r="J43" s="3627"/>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2961</v>
      </c>
      <c r="L44" s="3313" t="s">
        <v>2962</v>
      </c>
      <c r="M44" s="3299"/>
      <c r="N44" s="3313" t="s">
        <v>2963</v>
      </c>
      <c r="O44" s="3299"/>
      <c r="P44" s="3313" t="s">
        <v>2964</v>
      </c>
      <c r="Q44" s="3301">
        <v>1.4999999999999999E-2</v>
      </c>
      <c r="R44" s="330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2184</v>
      </c>
      <c r="C1" s="1609"/>
      <c r="D1" s="1610"/>
      <c r="E1" s="1611" t="s">
        <v>1167</v>
      </c>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1857</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1858</v>
      </c>
      <c r="B3" s="1630" t="e">
        <f ca="1">ROUND(IF(D2="——",C49,IF(C2="万元",B2*10000/D3,B2/D3)),0)</f>
        <v>#DIV/0!</v>
      </c>
      <c r="C3" s="1630" t="s">
        <v>2186</v>
      </c>
      <c r="D3" s="1630">
        <f>IF(C1="仅计算典型户型",'数据-取费表'!E5,'数据-取费表'!B5)</f>
        <v>134.43</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2187</v>
      </c>
      <c r="B4" s="1634"/>
      <c r="C4" s="3557" t="s">
        <v>2188</v>
      </c>
      <c r="D4" s="3558"/>
      <c r="E4" s="3559" t="s">
        <v>2189</v>
      </c>
      <c r="F4" s="3560"/>
      <c r="G4" s="3557" t="s">
        <v>2190</v>
      </c>
      <c r="H4" s="3558"/>
      <c r="I4" s="3557" t="s">
        <v>2191</v>
      </c>
      <c r="J4" s="3558"/>
      <c r="K4" s="1635" t="s">
        <v>2192</v>
      </c>
      <c r="L4" s="2967"/>
      <c r="M4" s="2968"/>
      <c r="N4" s="2968"/>
      <c r="O4" s="2968"/>
      <c r="P4" s="3561" t="s">
        <v>2193</v>
      </c>
      <c r="Q4" s="3562"/>
      <c r="R4" s="3567" t="s">
        <v>2189</v>
      </c>
      <c r="S4" s="3568"/>
      <c r="T4" s="3567" t="s">
        <v>2190</v>
      </c>
      <c r="U4" s="3568"/>
      <c r="V4" s="3573" t="s">
        <v>2191</v>
      </c>
      <c r="W4" s="3573"/>
      <c r="X4" s="1636"/>
      <c r="Y4" s="3567" t="s">
        <v>2193</v>
      </c>
      <c r="Z4" s="3568"/>
      <c r="AA4" s="3554" t="s">
        <v>2189</v>
      </c>
      <c r="AB4" s="3554" t="s">
        <v>2190</v>
      </c>
      <c r="AC4" s="3554" t="s">
        <v>2191</v>
      </c>
    </row>
    <row r="5" spans="1:29" ht="15">
      <c r="A5" s="1638"/>
      <c r="B5" s="1639"/>
      <c r="C5" s="3550" t="s">
        <v>2194</v>
      </c>
      <c r="D5" s="3551"/>
      <c r="E5" s="3574" t="s">
        <v>2195</v>
      </c>
      <c r="F5" s="3575"/>
      <c r="G5" s="3550" t="s">
        <v>2196</v>
      </c>
      <c r="H5" s="3551"/>
      <c r="I5" s="3550" t="s">
        <v>2197</v>
      </c>
      <c r="J5" s="3551"/>
      <c r="K5" s="1640"/>
      <c r="L5" s="2967"/>
      <c r="M5" s="2968"/>
      <c r="N5" s="2968"/>
      <c r="O5" s="2968"/>
      <c r="P5" s="3563"/>
      <c r="Q5" s="3564"/>
      <c r="R5" s="3569"/>
      <c r="S5" s="3570"/>
      <c r="T5" s="3569"/>
      <c r="U5" s="3570"/>
      <c r="V5" s="3573"/>
      <c r="W5" s="3573"/>
      <c r="X5" s="1636"/>
      <c r="Y5" s="3569"/>
      <c r="Z5" s="3570"/>
      <c r="AA5" s="3555"/>
      <c r="AB5" s="3555"/>
      <c r="AC5" s="3555"/>
    </row>
    <row r="6" spans="1:29" ht="15.75" thickBot="1">
      <c r="A6" s="1641"/>
      <c r="B6" s="1642"/>
      <c r="C6" s="3547" t="s">
        <v>2198</v>
      </c>
      <c r="D6" s="3548"/>
      <c r="E6" s="3545" t="s">
        <v>2198</v>
      </c>
      <c r="F6" s="3546"/>
      <c r="G6" s="3547" t="s">
        <v>2198</v>
      </c>
      <c r="H6" s="3548"/>
      <c r="I6" s="3547" t="s">
        <v>2198</v>
      </c>
      <c r="J6" s="3548"/>
      <c r="K6" s="1640" t="s">
        <v>2199</v>
      </c>
      <c r="L6" s="2967"/>
      <c r="M6" s="2968"/>
      <c r="N6" s="2968"/>
      <c r="O6" s="2968"/>
      <c r="P6" s="3565"/>
      <c r="Q6" s="3566"/>
      <c r="R6" s="3569"/>
      <c r="S6" s="3570"/>
      <c r="T6" s="3571"/>
      <c r="U6" s="3572"/>
      <c r="V6" s="3573"/>
      <c r="W6" s="3573"/>
      <c r="X6" s="1636"/>
      <c r="Y6" s="3571"/>
      <c r="Z6" s="3572"/>
      <c r="AA6" s="3556"/>
      <c r="AB6" s="3556"/>
      <c r="AC6" s="3556"/>
    </row>
    <row r="7" spans="1:29" s="1655" customFormat="1" ht="15.75" thickBot="1">
      <c r="A7" s="1643" t="s">
        <v>2200</v>
      </c>
      <c r="B7" s="1644"/>
      <c r="C7" s="1645">
        <f>'数据-取费表'!B2</f>
        <v>44553</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552" t="s">
        <v>2201</v>
      </c>
      <c r="Q7" s="3576"/>
      <c r="R7" s="1651" t="s">
        <v>34</v>
      </c>
      <c r="S7" s="1652">
        <f t="shared" ref="S7:S15" si="0">F7</f>
        <v>0</v>
      </c>
      <c r="T7" s="1651" t="s">
        <v>34</v>
      </c>
      <c r="U7" s="1652">
        <f t="shared" ref="U7:U15" si="1">H7</f>
        <v>0</v>
      </c>
      <c r="V7" s="1651" t="s">
        <v>34</v>
      </c>
      <c r="W7" s="1652">
        <f t="shared" ref="W7:W15" si="2">J7</f>
        <v>0</v>
      </c>
      <c r="X7" s="1653"/>
      <c r="Y7" s="3552" t="s">
        <v>2201</v>
      </c>
      <c r="Z7" s="3553"/>
      <c r="AA7" s="1654" t="e">
        <f>D7/F7</f>
        <v>#DIV/0!</v>
      </c>
      <c r="AB7" s="1654" t="e">
        <f>D7/H7</f>
        <v>#DIV/0!</v>
      </c>
      <c r="AC7" s="1654" t="e">
        <f>D7/J7</f>
        <v>#DIV/0!</v>
      </c>
    </row>
    <row r="8" spans="1:29" s="1655" customFormat="1" ht="15.75" thickBot="1">
      <c r="A8" s="1643" t="s">
        <v>2202</v>
      </c>
      <c r="B8" s="1644"/>
      <c r="C8" s="1656" t="s">
        <v>2203</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552" t="s">
        <v>2204</v>
      </c>
      <c r="Q8" s="3553"/>
      <c r="R8" s="1651" t="s">
        <v>34</v>
      </c>
      <c r="S8" s="1652">
        <f t="shared" si="0"/>
        <v>0</v>
      </c>
      <c r="T8" s="1651" t="s">
        <v>34</v>
      </c>
      <c r="U8" s="1652">
        <f t="shared" si="1"/>
        <v>0</v>
      </c>
      <c r="V8" s="1651" t="s">
        <v>34</v>
      </c>
      <c r="W8" s="1652">
        <f t="shared" si="2"/>
        <v>0</v>
      </c>
      <c r="X8" s="1653"/>
      <c r="Y8" s="3552" t="s">
        <v>2204</v>
      </c>
      <c r="Z8" s="3553"/>
      <c r="AA8" s="1654" t="e">
        <f t="shared" ref="AA8:AA46" si="3">D8/F8</f>
        <v>#DIV/0!</v>
      </c>
      <c r="AB8" s="1654" t="e">
        <f t="shared" ref="AB8:AB46" si="4">D8/H8</f>
        <v>#DIV/0!</v>
      </c>
      <c r="AC8" s="1654" t="e">
        <f t="shared" ref="AC8:AC46" si="5">D8/J8</f>
        <v>#DIV/0!</v>
      </c>
    </row>
    <row r="9" spans="1:29" s="1655" customFormat="1">
      <c r="A9" s="1606" t="s">
        <v>2205</v>
      </c>
      <c r="B9" s="1658" t="s">
        <v>2206</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44" t="s">
        <v>2207</v>
      </c>
      <c r="Q9" s="1605" t="str">
        <f t="shared" ref="Q9:Q15" si="6">B9</f>
        <v>用途</v>
      </c>
      <c r="R9" s="1651" t="s">
        <v>25</v>
      </c>
      <c r="S9" s="1652">
        <f t="shared" si="0"/>
        <v>100</v>
      </c>
      <c r="T9" s="1651" t="s">
        <v>25</v>
      </c>
      <c r="U9" s="1652">
        <f t="shared" si="1"/>
        <v>100</v>
      </c>
      <c r="V9" s="1651" t="s">
        <v>25</v>
      </c>
      <c r="W9" s="1652">
        <f t="shared" si="2"/>
        <v>100</v>
      </c>
      <c r="X9" s="1653"/>
      <c r="Y9" s="3478"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44"/>
      <c r="Q10" s="1605" t="str">
        <f t="shared" si="6"/>
        <v>土地使用年限（年）</v>
      </c>
      <c r="R10" s="1651" t="s">
        <v>25</v>
      </c>
      <c r="S10" s="1652">
        <f t="shared" si="0"/>
        <v>100</v>
      </c>
      <c r="T10" s="1651" t="s">
        <v>25</v>
      </c>
      <c r="U10" s="1652">
        <f t="shared" si="1"/>
        <v>100</v>
      </c>
      <c r="V10" s="1651" t="s">
        <v>25</v>
      </c>
      <c r="W10" s="1652">
        <f t="shared" si="2"/>
        <v>100</v>
      </c>
      <c r="X10" s="1653"/>
      <c r="Y10" s="3478"/>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44"/>
      <c r="Q11" s="1605" t="str">
        <f t="shared" si="6"/>
        <v>容积率</v>
      </c>
      <c r="R11" s="1651" t="s">
        <v>28</v>
      </c>
      <c r="S11" s="1652" t="e">
        <f t="shared" si="0"/>
        <v>#N/A</v>
      </c>
      <c r="T11" s="1651" t="s">
        <v>28</v>
      </c>
      <c r="U11" s="1652" t="e">
        <f t="shared" si="1"/>
        <v>#N/A</v>
      </c>
      <c r="V11" s="1651" t="s">
        <v>28</v>
      </c>
      <c r="W11" s="1652" t="e">
        <f t="shared" si="2"/>
        <v>#N/A</v>
      </c>
      <c r="X11" s="1653"/>
      <c r="Y11" s="3478"/>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44"/>
      <c r="Q12" s="1605">
        <f t="shared" si="6"/>
        <v>111</v>
      </c>
      <c r="R12" s="1651" t="s">
        <v>28</v>
      </c>
      <c r="S12" s="1652">
        <f t="shared" si="0"/>
        <v>100</v>
      </c>
      <c r="T12" s="1651" t="s">
        <v>28</v>
      </c>
      <c r="U12" s="1652">
        <f t="shared" si="1"/>
        <v>100</v>
      </c>
      <c r="V12" s="1651" t="s">
        <v>28</v>
      </c>
      <c r="W12" s="1652">
        <f t="shared" si="2"/>
        <v>100</v>
      </c>
      <c r="X12" s="1653"/>
      <c r="Y12" s="3478"/>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44"/>
      <c r="Q13" s="1605">
        <f t="shared" si="6"/>
        <v>111</v>
      </c>
      <c r="R13" s="1651" t="s">
        <v>28</v>
      </c>
      <c r="S13" s="1652">
        <f t="shared" si="0"/>
        <v>100</v>
      </c>
      <c r="T13" s="1651" t="s">
        <v>28</v>
      </c>
      <c r="U13" s="1652">
        <f t="shared" si="1"/>
        <v>100</v>
      </c>
      <c r="V13" s="1651" t="s">
        <v>28</v>
      </c>
      <c r="W13" s="1652">
        <f t="shared" si="2"/>
        <v>100</v>
      </c>
      <c r="X13" s="1653"/>
      <c r="Y13" s="3478"/>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44"/>
      <c r="Q14" s="1605">
        <f t="shared" si="6"/>
        <v>111</v>
      </c>
      <c r="R14" s="1651" t="s">
        <v>28</v>
      </c>
      <c r="S14" s="1652">
        <f t="shared" si="0"/>
        <v>100</v>
      </c>
      <c r="T14" s="1651" t="s">
        <v>28</v>
      </c>
      <c r="U14" s="1652">
        <f t="shared" si="1"/>
        <v>100</v>
      </c>
      <c r="V14" s="1651" t="s">
        <v>28</v>
      </c>
      <c r="W14" s="1652">
        <f t="shared" si="2"/>
        <v>100</v>
      </c>
      <c r="X14" s="1653"/>
      <c r="Y14" s="3478"/>
      <c r="Z14" s="1664">
        <f t="shared" si="7"/>
        <v>111</v>
      </c>
      <c r="AA14" s="1654">
        <f t="shared" si="3"/>
        <v>1</v>
      </c>
      <c r="AB14" s="1654">
        <f t="shared" si="4"/>
        <v>1</v>
      </c>
      <c r="AC14" s="1654">
        <f t="shared" si="5"/>
        <v>1</v>
      </c>
    </row>
    <row r="15" spans="1:29" ht="99.75">
      <c r="A15" s="1688" t="s">
        <v>2211</v>
      </c>
      <c r="B15" s="1689" t="s">
        <v>1647</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45" t="s">
        <v>2212</v>
      </c>
      <c r="Q15" s="1586" t="str">
        <f t="shared" si="6"/>
        <v>居住社区成熟度</v>
      </c>
      <c r="R15" s="1696" t="s">
        <v>28</v>
      </c>
      <c r="S15" s="1697">
        <f t="shared" si="0"/>
        <v>100</v>
      </c>
      <c r="T15" s="1696" t="s">
        <v>28</v>
      </c>
      <c r="U15" s="1697">
        <f t="shared" si="1"/>
        <v>100</v>
      </c>
      <c r="V15" s="1696" t="s">
        <v>28</v>
      </c>
      <c r="W15" s="1697">
        <f t="shared" si="2"/>
        <v>100</v>
      </c>
      <c r="X15" s="1636"/>
      <c r="Y15" s="3577" t="s">
        <v>2212</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646"/>
      <c r="Q16" s="1586"/>
      <c r="R16" s="1696"/>
      <c r="S16" s="1697"/>
      <c r="T16" s="1696"/>
      <c r="U16" s="1697"/>
      <c r="V16" s="1696"/>
      <c r="W16" s="1697"/>
      <c r="X16" s="1636"/>
      <c r="Y16" s="3578"/>
      <c r="Z16" s="1698"/>
      <c r="AA16" s="1699">
        <v>1</v>
      </c>
      <c r="AB16" s="1699">
        <v>1</v>
      </c>
      <c r="AC16" s="1699">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46"/>
      <c r="Q17" s="1586" t="str">
        <f>B17</f>
        <v>交通便捷度</v>
      </c>
      <c r="R17" s="1696" t="s">
        <v>28</v>
      </c>
      <c r="S17" s="1697">
        <f>F17</f>
        <v>100</v>
      </c>
      <c r="T17" s="1696" t="s">
        <v>28</v>
      </c>
      <c r="U17" s="1697">
        <f>H17</f>
        <v>100</v>
      </c>
      <c r="V17" s="1696" t="s">
        <v>28</v>
      </c>
      <c r="W17" s="1697">
        <f>J17</f>
        <v>100</v>
      </c>
      <c r="X17" s="1636"/>
      <c r="Y17" s="3578"/>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646"/>
      <c r="Q18" s="1586"/>
      <c r="R18" s="1696"/>
      <c r="S18" s="1697"/>
      <c r="T18" s="1696"/>
      <c r="U18" s="1697"/>
      <c r="V18" s="1696"/>
      <c r="W18" s="1697"/>
      <c r="X18" s="1636"/>
      <c r="Y18" s="3578"/>
      <c r="Z18" s="1698"/>
      <c r="AA18" s="1699">
        <v>1</v>
      </c>
      <c r="AB18" s="1699">
        <v>1</v>
      </c>
      <c r="AC18" s="1699">
        <v>1</v>
      </c>
    </row>
    <row r="19" spans="1:29" ht="42.75">
      <c r="A19" s="1673"/>
      <c r="B19" s="1708" t="s">
        <v>1648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46"/>
      <c r="Q19" s="1586" t="str">
        <f>B19</f>
        <v>公共配套设施</v>
      </c>
      <c r="R19" s="1696" t="s">
        <v>28</v>
      </c>
      <c r="S19" s="1697">
        <f>F19</f>
        <v>100</v>
      </c>
      <c r="T19" s="1696" t="s">
        <v>28</v>
      </c>
      <c r="U19" s="1697">
        <f>H19</f>
        <v>100</v>
      </c>
      <c r="V19" s="1696" t="s">
        <v>28</v>
      </c>
      <c r="W19" s="1697">
        <f>J19</f>
        <v>100</v>
      </c>
      <c r="X19" s="1636"/>
      <c r="Y19" s="3578"/>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646"/>
      <c r="Q20" s="1586"/>
      <c r="R20" s="1696"/>
      <c r="S20" s="1697"/>
      <c r="T20" s="1696"/>
      <c r="U20" s="1697"/>
      <c r="V20" s="1696"/>
      <c r="W20" s="1697"/>
      <c r="X20" s="1636"/>
      <c r="Y20" s="3578"/>
      <c r="Z20" s="1698"/>
      <c r="AA20" s="1699">
        <v>1</v>
      </c>
      <c r="AB20" s="1699">
        <v>1</v>
      </c>
      <c r="AC20" s="1699">
        <v>1</v>
      </c>
    </row>
    <row r="21" spans="1:29" ht="28.5">
      <c r="A21" s="1673"/>
      <c r="B21" s="1721" t="s">
        <v>1650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46"/>
      <c r="Q21" s="1586" t="str">
        <f>B21</f>
        <v>基础设施水平</v>
      </c>
      <c r="R21" s="1696" t="s">
        <v>28</v>
      </c>
      <c r="S21" s="1697">
        <f>F21</f>
        <v>100</v>
      </c>
      <c r="T21" s="1696" t="s">
        <v>28</v>
      </c>
      <c r="U21" s="1697">
        <f>H21</f>
        <v>100</v>
      </c>
      <c r="V21" s="1696" t="s">
        <v>28</v>
      </c>
      <c r="W21" s="1697">
        <f>J21</f>
        <v>100</v>
      </c>
      <c r="X21" s="1636"/>
      <c r="Y21" s="3578"/>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646"/>
      <c r="Q22" s="1586"/>
      <c r="R22" s="1696"/>
      <c r="S22" s="1697"/>
      <c r="T22" s="1696"/>
      <c r="U22" s="1697"/>
      <c r="V22" s="1696"/>
      <c r="W22" s="1697"/>
      <c r="X22" s="1636"/>
      <c r="Y22" s="3578"/>
      <c r="Z22" s="1698"/>
      <c r="AA22" s="1699">
        <v>1</v>
      </c>
      <c r="AB22" s="1699">
        <v>1</v>
      </c>
      <c r="AC22" s="1699">
        <v>1</v>
      </c>
    </row>
    <row r="23" spans="1:29" ht="57">
      <c r="A23" s="1673"/>
      <c r="B23" s="1708" t="s">
        <v>1651</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46"/>
      <c r="Q23" s="1586" t="str">
        <f>B23</f>
        <v>自然及人文环境</v>
      </c>
      <c r="R23" s="1696" t="s">
        <v>28</v>
      </c>
      <c r="S23" s="1697">
        <f>F23</f>
        <v>100</v>
      </c>
      <c r="T23" s="1696" t="s">
        <v>28</v>
      </c>
      <c r="U23" s="1697">
        <f>H23</f>
        <v>100</v>
      </c>
      <c r="V23" s="1696" t="s">
        <v>28</v>
      </c>
      <c r="W23" s="1697">
        <f>J23</f>
        <v>100</v>
      </c>
      <c r="X23" s="1636"/>
      <c r="Y23" s="3578"/>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646"/>
      <c r="Q24" s="1586"/>
      <c r="R24" s="1696"/>
      <c r="S24" s="1697"/>
      <c r="T24" s="1696"/>
      <c r="U24" s="1697"/>
      <c r="V24" s="1696"/>
      <c r="W24" s="1697"/>
      <c r="X24" s="1636"/>
      <c r="Y24" s="3578"/>
      <c r="Z24" s="1698"/>
      <c r="AA24" s="1699">
        <v>1</v>
      </c>
      <c r="AB24" s="1699">
        <v>1</v>
      </c>
      <c r="AC24" s="1699">
        <v>1</v>
      </c>
    </row>
    <row r="25" spans="1:29" ht="15">
      <c r="A25" s="1673"/>
      <c r="B25" s="1666" t="s">
        <v>2213</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46"/>
      <c r="Q25" s="1586" t="str">
        <f t="shared" ref="Q25:Q46" si="11">B25</f>
        <v>楼层-1</v>
      </c>
      <c r="R25" s="1696" t="s">
        <v>28</v>
      </c>
      <c r="S25" s="1697">
        <f>F25</f>
        <v>100</v>
      </c>
      <c r="T25" s="1696" t="s">
        <v>28</v>
      </c>
      <c r="U25" s="1697">
        <f>H25</f>
        <v>100</v>
      </c>
      <c r="V25" s="1696" t="s">
        <v>28</v>
      </c>
      <c r="W25" s="1697">
        <f>J25</f>
        <v>100</v>
      </c>
      <c r="X25" s="1636"/>
      <c r="Y25" s="3578"/>
      <c r="Z25" s="1698" t="str">
        <f>Q25</f>
        <v>楼层-1</v>
      </c>
      <c r="AA25" s="1699">
        <f t="shared" si="3"/>
        <v>1</v>
      </c>
      <c r="AB25" s="1699">
        <f t="shared" si="4"/>
        <v>1</v>
      </c>
      <c r="AC25" s="1699">
        <f t="shared" si="5"/>
        <v>1</v>
      </c>
    </row>
    <row r="26" spans="1:29" ht="15">
      <c r="A26" s="1673"/>
      <c r="B26" s="1666" t="s">
        <v>2214</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646"/>
      <c r="Q26" s="1586" t="str">
        <f t="shared" si="11"/>
        <v>朝向</v>
      </c>
      <c r="R26" s="1696" t="s">
        <v>28</v>
      </c>
      <c r="S26" s="1697">
        <f>F26</f>
        <v>100</v>
      </c>
      <c r="T26" s="1696" t="s">
        <v>28</v>
      </c>
      <c r="U26" s="1697">
        <f>H26</f>
        <v>100</v>
      </c>
      <c r="V26" s="1696" t="s">
        <v>28</v>
      </c>
      <c r="W26" s="1697">
        <f>J26</f>
        <v>100</v>
      </c>
      <c r="X26" s="1636"/>
      <c r="Y26" s="3578"/>
      <c r="Z26" s="1698" t="str">
        <f>Q26</f>
        <v>朝向</v>
      </c>
      <c r="AA26" s="1699">
        <f t="shared" si="3"/>
        <v>1</v>
      </c>
      <c r="AB26" s="1699">
        <f t="shared" si="4"/>
        <v>1</v>
      </c>
      <c r="AC26" s="1699">
        <f t="shared" si="5"/>
        <v>1</v>
      </c>
    </row>
    <row r="27" spans="1:29" s="1655" customFormat="1" ht="15">
      <c r="A27" s="1676"/>
      <c r="B27" s="1677" t="s">
        <v>2215</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646"/>
      <c r="Q27" s="1605" t="str">
        <f t="shared" si="11"/>
        <v>道路级别</v>
      </c>
      <c r="R27" s="1651" t="s">
        <v>28</v>
      </c>
      <c r="S27" s="1652">
        <f>F27</f>
        <v>100</v>
      </c>
      <c r="T27" s="1651" t="s">
        <v>28</v>
      </c>
      <c r="U27" s="1652">
        <f>H27</f>
        <v>100</v>
      </c>
      <c r="V27" s="1651" t="s">
        <v>28</v>
      </c>
      <c r="W27" s="1652">
        <f>J27</f>
        <v>100</v>
      </c>
      <c r="X27" s="1653"/>
      <c r="Y27" s="3578"/>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646"/>
      <c r="Q28" s="1586">
        <f t="shared" si="11"/>
        <v>111</v>
      </c>
      <c r="R28" s="1696" t="s">
        <v>28</v>
      </c>
      <c r="S28" s="1697">
        <f t="shared" ref="S28:S46" si="12">F28</f>
        <v>100</v>
      </c>
      <c r="T28" s="1696" t="s">
        <v>28</v>
      </c>
      <c r="U28" s="1697">
        <f t="shared" ref="U28:U46" si="13">H28</f>
        <v>100</v>
      </c>
      <c r="V28" s="1696" t="s">
        <v>28</v>
      </c>
      <c r="W28" s="1697">
        <f t="shared" ref="W28:W46" si="14">J28</f>
        <v>100</v>
      </c>
      <c r="X28" s="1636"/>
      <c r="Y28" s="3578"/>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46"/>
      <c r="Q29" s="1586">
        <f t="shared" si="11"/>
        <v>111</v>
      </c>
      <c r="R29" s="1696" t="s">
        <v>28</v>
      </c>
      <c r="S29" s="1697">
        <f t="shared" si="12"/>
        <v>100</v>
      </c>
      <c r="T29" s="1696" t="s">
        <v>28</v>
      </c>
      <c r="U29" s="1697">
        <f t="shared" si="13"/>
        <v>100</v>
      </c>
      <c r="V29" s="1696" t="s">
        <v>28</v>
      </c>
      <c r="W29" s="1697">
        <f t="shared" si="14"/>
        <v>100</v>
      </c>
      <c r="X29" s="1636"/>
      <c r="Y29" s="3578"/>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46"/>
      <c r="Q30" s="1586">
        <f t="shared" si="11"/>
        <v>111</v>
      </c>
      <c r="R30" s="1696" t="s">
        <v>28</v>
      </c>
      <c r="S30" s="1697">
        <f t="shared" si="12"/>
        <v>100</v>
      </c>
      <c r="T30" s="1696" t="s">
        <v>28</v>
      </c>
      <c r="U30" s="1697">
        <f t="shared" si="13"/>
        <v>100</v>
      </c>
      <c r="V30" s="1696" t="s">
        <v>28</v>
      </c>
      <c r="W30" s="1697">
        <f t="shared" si="14"/>
        <v>100</v>
      </c>
      <c r="X30" s="1636"/>
      <c r="Y30" s="3578"/>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46"/>
      <c r="Q31" s="1586">
        <f t="shared" si="11"/>
        <v>111</v>
      </c>
      <c r="R31" s="1696" t="s">
        <v>28</v>
      </c>
      <c r="S31" s="1697">
        <f t="shared" si="12"/>
        <v>100</v>
      </c>
      <c r="T31" s="1696" t="s">
        <v>28</v>
      </c>
      <c r="U31" s="1697">
        <f t="shared" si="13"/>
        <v>100</v>
      </c>
      <c r="V31" s="1696" t="s">
        <v>28</v>
      </c>
      <c r="W31" s="1697">
        <f t="shared" si="14"/>
        <v>100</v>
      </c>
      <c r="X31" s="1636"/>
      <c r="Y31" s="3578"/>
      <c r="Z31" s="1698">
        <f t="shared" si="15"/>
        <v>111</v>
      </c>
      <c r="AA31" s="1699">
        <f t="shared" si="3"/>
        <v>1</v>
      </c>
      <c r="AB31" s="1699">
        <f t="shared" si="4"/>
        <v>1</v>
      </c>
      <c r="AC31" s="1699">
        <f t="shared" si="5"/>
        <v>1</v>
      </c>
    </row>
    <row r="32" spans="1:29" ht="15">
      <c r="A32" s="1688" t="s">
        <v>2216</v>
      </c>
      <c r="B32" s="1658" t="s">
        <v>2217</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641" t="s">
        <v>2218</v>
      </c>
      <c r="Q32" s="1586" t="str">
        <f t="shared" si="11"/>
        <v>建筑类型</v>
      </c>
      <c r="R32" s="1696" t="s">
        <v>28</v>
      </c>
      <c r="S32" s="1697">
        <f t="shared" si="12"/>
        <v>100</v>
      </c>
      <c r="T32" s="1696" t="s">
        <v>28</v>
      </c>
      <c r="U32" s="1697">
        <f t="shared" si="13"/>
        <v>100</v>
      </c>
      <c r="V32" s="1696" t="s">
        <v>28</v>
      </c>
      <c r="W32" s="1697">
        <f t="shared" si="14"/>
        <v>100</v>
      </c>
      <c r="X32" s="1636"/>
      <c r="Y32" s="3580" t="s">
        <v>2218</v>
      </c>
      <c r="Z32" s="1698" t="str">
        <f t="shared" si="15"/>
        <v>建筑类型</v>
      </c>
      <c r="AA32" s="1699">
        <f t="shared" si="3"/>
        <v>1</v>
      </c>
      <c r="AB32" s="1699">
        <f t="shared" si="4"/>
        <v>1</v>
      </c>
      <c r="AC32" s="1699">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642"/>
      <c r="Q33" s="1737" t="str">
        <f t="shared" si="11"/>
        <v>项目建筑规模</v>
      </c>
      <c r="R33" s="1738" t="s">
        <v>28</v>
      </c>
      <c r="S33" s="1739" t="e">
        <f t="shared" si="12"/>
        <v>#N/A</v>
      </c>
      <c r="T33" s="1738" t="s">
        <v>28</v>
      </c>
      <c r="U33" s="1739" t="e">
        <f t="shared" si="13"/>
        <v>#N/A</v>
      </c>
      <c r="V33" s="1738" t="s">
        <v>28</v>
      </c>
      <c r="W33" s="1739" t="e">
        <f t="shared" si="14"/>
        <v>#N/A</v>
      </c>
      <c r="X33" s="1740"/>
      <c r="Y33" s="3580"/>
      <c r="Z33" s="1741" t="str">
        <f t="shared" si="15"/>
        <v>项目建筑规模</v>
      </c>
      <c r="AA33" s="1699" t="e">
        <f t="shared" si="3"/>
        <v>#N/A</v>
      </c>
      <c r="AB33" s="1699" t="e">
        <f t="shared" si="4"/>
        <v>#N/A</v>
      </c>
      <c r="AC33" s="1699"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642"/>
      <c r="Q34" s="1586" t="str">
        <f t="shared" si="11"/>
        <v>建筑结构</v>
      </c>
      <c r="R34" s="1696" t="s">
        <v>28</v>
      </c>
      <c r="S34" s="1697">
        <f t="shared" si="12"/>
        <v>100</v>
      </c>
      <c r="T34" s="1696" t="s">
        <v>28</v>
      </c>
      <c r="U34" s="1697">
        <f t="shared" si="13"/>
        <v>100</v>
      </c>
      <c r="V34" s="1696" t="s">
        <v>28</v>
      </c>
      <c r="W34" s="1697">
        <f t="shared" si="14"/>
        <v>100</v>
      </c>
      <c r="X34" s="1636"/>
      <c r="Y34" s="3580"/>
      <c r="Z34" s="1698" t="str">
        <f t="shared" si="15"/>
        <v>建筑结构</v>
      </c>
      <c r="AA34" s="1699">
        <f t="shared" si="3"/>
        <v>1</v>
      </c>
      <c r="AB34" s="1699">
        <f t="shared" si="4"/>
        <v>1</v>
      </c>
      <c r="AC34" s="1699">
        <f t="shared" si="5"/>
        <v>1</v>
      </c>
    </row>
    <row r="35" spans="1:29" ht="15">
      <c r="A35" s="1743"/>
      <c r="B35" s="1666" t="s">
        <v>2221</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642"/>
      <c r="Q35" s="1586" t="str">
        <f t="shared" si="11"/>
        <v>建筑品质</v>
      </c>
      <c r="R35" s="1696" t="s">
        <v>28</v>
      </c>
      <c r="S35" s="1697">
        <f t="shared" si="12"/>
        <v>100</v>
      </c>
      <c r="T35" s="1696" t="s">
        <v>28</v>
      </c>
      <c r="U35" s="1697">
        <f t="shared" si="13"/>
        <v>100</v>
      </c>
      <c r="V35" s="1696" t="s">
        <v>28</v>
      </c>
      <c r="W35" s="1697">
        <f t="shared" si="14"/>
        <v>100</v>
      </c>
      <c r="X35" s="1636"/>
      <c r="Y35" s="3580"/>
      <c r="Z35" s="1698" t="str">
        <f t="shared" si="15"/>
        <v>建筑品质</v>
      </c>
      <c r="AA35" s="1699">
        <f t="shared" si="3"/>
        <v>1</v>
      </c>
      <c r="AB35" s="1699">
        <f t="shared" si="4"/>
        <v>1</v>
      </c>
      <c r="AC35" s="1699">
        <f t="shared" si="5"/>
        <v>1</v>
      </c>
    </row>
    <row r="36" spans="1:29" ht="15">
      <c r="A36" s="1743"/>
      <c r="B36" s="1666" t="s">
        <v>2222</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642"/>
      <c r="Q36" s="1586" t="str">
        <f t="shared" si="11"/>
        <v>公共部分装修</v>
      </c>
      <c r="R36" s="1696" t="s">
        <v>28</v>
      </c>
      <c r="S36" s="1697">
        <f t="shared" si="12"/>
        <v>100</v>
      </c>
      <c r="T36" s="1696" t="s">
        <v>28</v>
      </c>
      <c r="U36" s="1697">
        <f t="shared" si="13"/>
        <v>100</v>
      </c>
      <c r="V36" s="1696" t="s">
        <v>28</v>
      </c>
      <c r="W36" s="1697">
        <f t="shared" si="14"/>
        <v>100</v>
      </c>
      <c r="X36" s="1636"/>
      <c r="Y36" s="3580"/>
      <c r="Z36" s="1698" t="str">
        <f t="shared" si="15"/>
        <v>公共部分装修</v>
      </c>
      <c r="AA36" s="1699">
        <f t="shared" si="3"/>
        <v>1</v>
      </c>
      <c r="AB36" s="1699">
        <f t="shared" si="4"/>
        <v>1</v>
      </c>
      <c r="AC36" s="1699">
        <f t="shared" si="5"/>
        <v>1</v>
      </c>
    </row>
    <row r="37" spans="1:29" s="1655" customFormat="1" ht="15">
      <c r="A37" s="1746"/>
      <c r="B37" s="1666" t="s">
        <v>2223</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642"/>
      <c r="Q37" s="1605" t="str">
        <f t="shared" si="11"/>
        <v>成新度</v>
      </c>
      <c r="R37" s="1651" t="s">
        <v>28</v>
      </c>
      <c r="S37" s="1652" t="e">
        <f t="shared" si="12"/>
        <v>#N/A</v>
      </c>
      <c r="T37" s="1651" t="s">
        <v>28</v>
      </c>
      <c r="U37" s="1652" t="e">
        <f t="shared" si="13"/>
        <v>#N/A</v>
      </c>
      <c r="V37" s="1651" t="s">
        <v>28</v>
      </c>
      <c r="W37" s="1652" t="e">
        <f t="shared" si="14"/>
        <v>#N/A</v>
      </c>
      <c r="X37" s="1653"/>
      <c r="Y37" s="3580"/>
      <c r="Z37" s="1664" t="str">
        <f t="shared" si="15"/>
        <v>成新度</v>
      </c>
      <c r="AA37" s="1654" t="e">
        <f t="shared" si="3"/>
        <v>#N/A</v>
      </c>
      <c r="AB37" s="1654" t="e">
        <f t="shared" si="4"/>
        <v>#N/A</v>
      </c>
      <c r="AC37" s="1654" t="e">
        <f t="shared" si="5"/>
        <v>#N/A</v>
      </c>
    </row>
    <row r="38" spans="1:29" ht="15">
      <c r="A38" s="1743"/>
      <c r="B38" s="1666" t="s">
        <v>2224</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642" t="s">
        <v>2218</v>
      </c>
      <c r="Q38" s="1586" t="str">
        <f t="shared" si="11"/>
        <v>物业管理</v>
      </c>
      <c r="R38" s="1696" t="s">
        <v>28</v>
      </c>
      <c r="S38" s="1697">
        <f t="shared" si="12"/>
        <v>100</v>
      </c>
      <c r="T38" s="1696" t="s">
        <v>28</v>
      </c>
      <c r="U38" s="1697">
        <f t="shared" si="13"/>
        <v>100</v>
      </c>
      <c r="V38" s="1696" t="s">
        <v>28</v>
      </c>
      <c r="W38" s="1697">
        <f t="shared" si="14"/>
        <v>100</v>
      </c>
      <c r="X38" s="1636"/>
      <c r="Y38" s="3580" t="s">
        <v>2218</v>
      </c>
      <c r="Z38" s="1698" t="str">
        <f t="shared" si="15"/>
        <v>物业管理</v>
      </c>
      <c r="AA38" s="1699">
        <f t="shared" si="3"/>
        <v>1</v>
      </c>
      <c r="AB38" s="1699">
        <f t="shared" si="4"/>
        <v>1</v>
      </c>
      <c r="AC38" s="1699">
        <f t="shared" si="5"/>
        <v>1</v>
      </c>
    </row>
    <row r="39" spans="1:29" ht="15">
      <c r="A39" s="1743"/>
      <c r="B39" s="1666" t="s">
        <v>2225</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642"/>
      <c r="Q39" s="1586" t="str">
        <f t="shared" si="11"/>
        <v>市政基础设施</v>
      </c>
      <c r="R39" s="1696" t="s">
        <v>28</v>
      </c>
      <c r="S39" s="1697">
        <f t="shared" si="12"/>
        <v>100</v>
      </c>
      <c r="T39" s="1696" t="s">
        <v>28</v>
      </c>
      <c r="U39" s="1697">
        <f t="shared" si="13"/>
        <v>100</v>
      </c>
      <c r="V39" s="1696" t="s">
        <v>28</v>
      </c>
      <c r="W39" s="1697">
        <f t="shared" si="14"/>
        <v>100</v>
      </c>
      <c r="X39" s="1636"/>
      <c r="Y39" s="3580"/>
      <c r="Z39" s="1698" t="str">
        <f t="shared" si="15"/>
        <v>市政基础设施</v>
      </c>
      <c r="AA39" s="1699">
        <f t="shared" si="3"/>
        <v>1</v>
      </c>
      <c r="AB39" s="1699">
        <f t="shared" si="4"/>
        <v>1</v>
      </c>
      <c r="AC39" s="1699">
        <f t="shared" si="5"/>
        <v>1</v>
      </c>
    </row>
    <row r="40" spans="1:29" ht="15">
      <c r="A40" s="1743"/>
      <c r="B40" s="1666" t="s">
        <v>2226</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642"/>
      <c r="Q40" s="1586" t="str">
        <f t="shared" si="11"/>
        <v>房型</v>
      </c>
      <c r="R40" s="1696" t="s">
        <v>28</v>
      </c>
      <c r="S40" s="1697">
        <f t="shared" si="12"/>
        <v>100</v>
      </c>
      <c r="T40" s="1696" t="s">
        <v>28</v>
      </c>
      <c r="U40" s="1697">
        <f t="shared" si="13"/>
        <v>100</v>
      </c>
      <c r="V40" s="1696" t="s">
        <v>28</v>
      </c>
      <c r="W40" s="1697">
        <f t="shared" si="14"/>
        <v>100</v>
      </c>
      <c r="X40" s="1636"/>
      <c r="Y40" s="3580"/>
      <c r="Z40" s="1698" t="str">
        <f t="shared" si="15"/>
        <v>房型</v>
      </c>
      <c r="AA40" s="1699">
        <f t="shared" si="3"/>
        <v>1</v>
      </c>
      <c r="AB40" s="1699">
        <f t="shared" si="4"/>
        <v>1</v>
      </c>
      <c r="AC40" s="1699">
        <f t="shared" si="5"/>
        <v>1</v>
      </c>
    </row>
    <row r="41" spans="1:29" s="1742" customFormat="1" ht="28.5">
      <c r="A41" s="1735"/>
      <c r="B41" s="1666" t="s">
        <v>2227</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42"/>
      <c r="Q41" s="1737" t="str">
        <f t="shared" si="11"/>
        <v>单套/主力户型建筑面积</v>
      </c>
      <c r="R41" s="1738" t="s">
        <v>28</v>
      </c>
      <c r="S41" s="1739">
        <f t="shared" si="12"/>
        <v>100</v>
      </c>
      <c r="T41" s="1738" t="s">
        <v>28</v>
      </c>
      <c r="U41" s="1739">
        <f t="shared" si="13"/>
        <v>100</v>
      </c>
      <c r="V41" s="1738" t="s">
        <v>28</v>
      </c>
      <c r="W41" s="1739">
        <f t="shared" si="14"/>
        <v>100</v>
      </c>
      <c r="X41" s="1740"/>
      <c r="Y41" s="3580"/>
      <c r="Z41" s="1741" t="str">
        <f t="shared" si="15"/>
        <v>单套/主力户型建筑面积</v>
      </c>
      <c r="AA41" s="1699">
        <f t="shared" si="3"/>
        <v>1</v>
      </c>
      <c r="AB41" s="1699">
        <f t="shared" si="4"/>
        <v>1</v>
      </c>
      <c r="AC41" s="1699">
        <f t="shared" si="5"/>
        <v>1</v>
      </c>
    </row>
    <row r="42" spans="1:29" ht="15">
      <c r="A42" s="1743"/>
      <c r="B42" s="1666" t="s">
        <v>2228</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642"/>
      <c r="Q42" s="1586" t="str">
        <f t="shared" si="11"/>
        <v>内部装修</v>
      </c>
      <c r="R42" s="1696" t="s">
        <v>28</v>
      </c>
      <c r="S42" s="1697">
        <f t="shared" si="12"/>
        <v>100</v>
      </c>
      <c r="T42" s="1696" t="s">
        <v>28</v>
      </c>
      <c r="U42" s="1697">
        <f t="shared" si="13"/>
        <v>100</v>
      </c>
      <c r="V42" s="1696" t="s">
        <v>28</v>
      </c>
      <c r="W42" s="1697">
        <f t="shared" si="14"/>
        <v>100</v>
      </c>
      <c r="X42" s="1636"/>
      <c r="Y42" s="3580"/>
      <c r="Z42" s="1698" t="str">
        <f t="shared" si="15"/>
        <v>内部装修</v>
      </c>
      <c r="AA42" s="1699">
        <f t="shared" si="3"/>
        <v>1</v>
      </c>
      <c r="AB42" s="1699">
        <f t="shared" si="4"/>
        <v>1</v>
      </c>
      <c r="AC42" s="1699">
        <f t="shared" si="5"/>
        <v>1</v>
      </c>
    </row>
    <row r="43" spans="1:29" ht="15">
      <c r="A43" s="1743"/>
      <c r="B43" s="1666" t="s">
        <v>2229</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42"/>
      <c r="Q43" s="1586" t="str">
        <f t="shared" si="11"/>
        <v>内部装修维护情况</v>
      </c>
      <c r="R43" s="1696" t="s">
        <v>28</v>
      </c>
      <c r="S43" s="1697">
        <f t="shared" si="12"/>
        <v>100</v>
      </c>
      <c r="T43" s="1696" t="s">
        <v>28</v>
      </c>
      <c r="U43" s="1697">
        <f t="shared" si="13"/>
        <v>100</v>
      </c>
      <c r="V43" s="1696" t="s">
        <v>28</v>
      </c>
      <c r="W43" s="1697">
        <f t="shared" si="14"/>
        <v>100</v>
      </c>
      <c r="X43" s="1636"/>
      <c r="Y43" s="3580"/>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42"/>
      <c r="Q44" s="1605">
        <f t="shared" si="11"/>
        <v>111</v>
      </c>
      <c r="R44" s="1651" t="s">
        <v>28</v>
      </c>
      <c r="S44" s="1652">
        <f t="shared" si="12"/>
        <v>100</v>
      </c>
      <c r="T44" s="1651" t="s">
        <v>28</v>
      </c>
      <c r="U44" s="1652">
        <f t="shared" si="13"/>
        <v>100</v>
      </c>
      <c r="V44" s="1651" t="s">
        <v>28</v>
      </c>
      <c r="W44" s="1652">
        <f t="shared" si="14"/>
        <v>100</v>
      </c>
      <c r="X44" s="1653"/>
      <c r="Y44" s="3580"/>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42"/>
      <c r="Q45" s="1586">
        <f t="shared" si="11"/>
        <v>111</v>
      </c>
      <c r="R45" s="1696" t="s">
        <v>28</v>
      </c>
      <c r="S45" s="1697">
        <f t="shared" si="12"/>
        <v>100</v>
      </c>
      <c r="T45" s="1696" t="s">
        <v>28</v>
      </c>
      <c r="U45" s="1697">
        <f t="shared" si="13"/>
        <v>100</v>
      </c>
      <c r="V45" s="1696" t="s">
        <v>28</v>
      </c>
      <c r="W45" s="1697">
        <f t="shared" si="14"/>
        <v>100</v>
      </c>
      <c r="X45" s="1636"/>
      <c r="Y45" s="3580"/>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43"/>
      <c r="Q46" s="1586">
        <f t="shared" si="11"/>
        <v>111</v>
      </c>
      <c r="R46" s="1696" t="s">
        <v>27</v>
      </c>
      <c r="S46" s="1697">
        <f t="shared" si="12"/>
        <v>100</v>
      </c>
      <c r="T46" s="1696" t="s">
        <v>27</v>
      </c>
      <c r="U46" s="1697">
        <f t="shared" si="13"/>
        <v>100</v>
      </c>
      <c r="V46" s="1696" t="s">
        <v>27</v>
      </c>
      <c r="W46" s="1697">
        <f t="shared" si="14"/>
        <v>100</v>
      </c>
      <c r="X46" s="1636"/>
      <c r="Y46" s="3581"/>
      <c r="Z46" s="1698">
        <f t="shared" si="15"/>
        <v>111</v>
      </c>
      <c r="AA46" s="1699">
        <f t="shared" si="3"/>
        <v>1</v>
      </c>
      <c r="AB46" s="1699">
        <f t="shared" si="4"/>
        <v>1</v>
      </c>
      <c r="AC46" s="1699">
        <f t="shared" si="5"/>
        <v>1</v>
      </c>
    </row>
    <row r="47" spans="1:29" ht="15">
      <c r="A47" s="1752" t="s">
        <v>2230</v>
      </c>
      <c r="B47" s="1753"/>
      <c r="C47" s="1754" t="s">
        <v>26</v>
      </c>
      <c r="D47" s="1755"/>
      <c r="E47" s="1756"/>
      <c r="F47" s="1757"/>
      <c r="G47" s="1758"/>
      <c r="H47" s="1759"/>
      <c r="I47" s="1756"/>
      <c r="J47" s="1759"/>
      <c r="K47" s="1760"/>
      <c r="L47" s="2973"/>
      <c r="N47" s="2968"/>
      <c r="P47" s="3549" t="str">
        <f>A47</f>
        <v>成交单价（元/平方米）</v>
      </c>
      <c r="Q47" s="3549"/>
      <c r="R47" s="3582">
        <f>E47</f>
        <v>0</v>
      </c>
      <c r="S47" s="3582"/>
      <c r="T47" s="3582">
        <f>G47</f>
        <v>0</v>
      </c>
      <c r="U47" s="3582"/>
      <c r="V47" s="3582">
        <f>I47</f>
        <v>0</v>
      </c>
      <c r="W47" s="3582"/>
      <c r="X47" s="1762"/>
      <c r="Y47" s="1763"/>
      <c r="Z47" s="1762"/>
      <c r="AA47" s="1762"/>
      <c r="AB47" s="1762"/>
      <c r="AC47" s="1762"/>
    </row>
    <row r="48" spans="1:29" ht="15.75" thickBot="1">
      <c r="A48" s="1764" t="s">
        <v>2231</v>
      </c>
      <c r="B48" s="1765"/>
      <c r="C48" s="1766" t="e">
        <f>R49</f>
        <v>#DIV/0!</v>
      </c>
      <c r="D48" s="1767" t="s">
        <v>2687</v>
      </c>
      <c r="E48" s="1768" t="e">
        <f>R48</f>
        <v>#DIV/0!</v>
      </c>
      <c r="F48" s="1769"/>
      <c r="G48" s="1766" t="e">
        <f>T48</f>
        <v>#DIV/0!</v>
      </c>
      <c r="H48" s="1769"/>
      <c r="I48" s="1768" t="e">
        <f>V48</f>
        <v>#DIV/0!</v>
      </c>
      <c r="J48" s="1769"/>
      <c r="K48" s="2482">
        <f>F48+H48+J48</f>
        <v>0</v>
      </c>
      <c r="L48" s="2973"/>
      <c r="P48" s="3549" t="str">
        <f>A48</f>
        <v>比较价值（元/平方米）</v>
      </c>
      <c r="Q48" s="3549"/>
      <c r="R48" s="3582" t="e">
        <f>IF(E1="售价",ROUND(PRODUCT(R47,AA7:AA46),0),ROUND(PRODUCT(R47,AA7:AA46),1))</f>
        <v>#DIV/0!</v>
      </c>
      <c r="S48" s="3582"/>
      <c r="T48" s="3647" t="e">
        <f>IF(E1="售价",ROUND(PRODUCT(T47,AB7:AB46),0),ROUND(PRODUCT(T47,AB7:AB46),1))</f>
        <v>#DIV/0!</v>
      </c>
      <c r="U48" s="3648"/>
      <c r="V48" s="3582" t="e">
        <f>IF(E1="售价",ROUND(PRODUCT(V47,AC7:AC46),0),ROUND(PRODUCT(V47,AC7:AC46),1))</f>
        <v>#DIV/0!</v>
      </c>
      <c r="W48" s="3582"/>
      <c r="X48" s="1762"/>
      <c r="Y48" s="1762"/>
      <c r="Z48" s="1762"/>
      <c r="AA48" s="1762"/>
      <c r="AB48" s="1762"/>
      <c r="AC48" s="1762"/>
    </row>
    <row r="49" spans="1:29" ht="15.75" thickBot="1">
      <c r="A49" s="1770" t="s">
        <v>2232</v>
      </c>
      <c r="B49" s="1771"/>
      <c r="C49" s="1772" t="e">
        <f>R49</f>
        <v>#DIV/0!</v>
      </c>
      <c r="D49" s="1773"/>
      <c r="E49" s="1773"/>
      <c r="F49" s="1773"/>
      <c r="G49" s="1773"/>
      <c r="H49" s="1773"/>
      <c r="I49" s="1773"/>
      <c r="J49" s="1773"/>
      <c r="K49" s="1774"/>
      <c r="L49" s="2973"/>
      <c r="P49" s="3583" t="str">
        <f>A49</f>
        <v>估价对象XX用房的比较价值（楼面单价，元/平方米）</v>
      </c>
      <c r="Q49" s="3584"/>
      <c r="R49" s="3585" t="e">
        <f>IF(E1="售价",ROUND(IF(D48="简单平均",AVERAGE(R48:V48),R48*F48+T48*H48+V48*J48),0),ROUND(IF(D48="简单平均",AVERAGE(R48:V48),R48*F48+T48*H48+V48*J48),1))</f>
        <v>#DIV/0!</v>
      </c>
      <c r="S49" s="3585"/>
      <c r="T49" s="3585"/>
      <c r="U49" s="3585"/>
      <c r="V49" s="3585"/>
      <c r="W49" s="3585"/>
      <c r="X49" s="1762"/>
      <c r="Y49" s="1762"/>
      <c r="Z49" s="1762"/>
      <c r="AA49" s="1762"/>
      <c r="AB49" s="1762"/>
      <c r="AC49" s="1762"/>
    </row>
    <row r="50" spans="1:29">
      <c r="G50" s="2977"/>
    </row>
    <row r="52" spans="1:29" ht="13.5" customHeight="1">
      <c r="C52" s="383" t="s">
        <v>2233</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2234</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2235</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2236</v>
      </c>
      <c r="B57" s="1762"/>
      <c r="C57" s="1788"/>
      <c r="D57" s="1788"/>
      <c r="E57" s="1788"/>
      <c r="F57" s="1788"/>
      <c r="G57" s="1788"/>
      <c r="H57" s="1788"/>
      <c r="I57" s="1788"/>
      <c r="J57" s="1788"/>
      <c r="K57" s="1789"/>
      <c r="L57" s="2975"/>
      <c r="M57" s="2976"/>
      <c r="N57" s="2976"/>
      <c r="O57" s="2976"/>
      <c r="P57" s="1791"/>
      <c r="Q57" s="1792"/>
    </row>
    <row r="58" spans="1:29" s="1798" customFormat="1" ht="15">
      <c r="A58" s="1793" t="s">
        <v>2237</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2239</v>
      </c>
      <c r="B61" s="1800"/>
      <c r="C61" s="1811" t="s">
        <v>2240</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2241</v>
      </c>
      <c r="B63" s="1818" t="s">
        <v>2206</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2210</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1650</v>
      </c>
      <c r="C82" s="1830" t="s">
        <v>2257</v>
      </c>
      <c r="D82" s="1830" t="s">
        <v>2258</v>
      </c>
      <c r="E82" s="1830" t="s">
        <v>2259</v>
      </c>
      <c r="F82" s="1830" t="s">
        <v>2260</v>
      </c>
      <c r="G82" s="1830" t="s">
        <v>2261</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2263</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2264</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2216</v>
      </c>
      <c r="B100" s="1818" t="s">
        <v>2265</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2266</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2267</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2268</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2269</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2270</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2271</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2272</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2273</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2227</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2274</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2276</v>
      </c>
    </row>
    <row r="137" spans="1:17" ht="15">
      <c r="B137" s="1882" t="s">
        <v>2277</v>
      </c>
      <c r="C137" s="1883"/>
      <c r="D137" s="1883"/>
      <c r="E137" s="1883"/>
      <c r="F137" s="1883"/>
      <c r="G137" s="1884"/>
      <c r="H137" s="1885"/>
      <c r="I137" s="1886" t="s">
        <v>2278</v>
      </c>
      <c r="J137" s="1883"/>
      <c r="K137" s="1887"/>
    </row>
    <row r="138" spans="1:17" ht="15">
      <c r="B138" s="1888"/>
      <c r="C138" s="1889" t="s">
        <v>2279</v>
      </c>
      <c r="D138" s="1889" t="s">
        <v>2280</v>
      </c>
      <c r="E138" s="1890" t="s">
        <v>2281</v>
      </c>
      <c r="F138" s="1891" t="s">
        <v>2282</v>
      </c>
      <c r="G138" s="1889" t="s">
        <v>2280</v>
      </c>
      <c r="H138" s="1892" t="s">
        <v>2281</v>
      </c>
      <c r="I138" s="1893"/>
      <c r="J138" s="1889" t="s">
        <v>2283</v>
      </c>
      <c r="K138" s="1892" t="s">
        <v>2284</v>
      </c>
    </row>
    <row r="139" spans="1:17" ht="15">
      <c r="B139" s="1894">
        <v>6</v>
      </c>
      <c r="C139" s="1895">
        <v>96</v>
      </c>
      <c r="D139" s="1896" t="s">
        <v>2285</v>
      </c>
      <c r="E139" s="1897">
        <v>100</v>
      </c>
      <c r="F139" s="1898">
        <v>102.5</v>
      </c>
      <c r="G139" s="1896" t="s">
        <v>2285</v>
      </c>
      <c r="H139" s="1899">
        <v>105</v>
      </c>
      <c r="I139" s="1900" t="s">
        <v>2286</v>
      </c>
      <c r="J139" s="1895">
        <v>20</v>
      </c>
      <c r="K139" s="1901">
        <f>C145/(J139-2)</f>
        <v>4.0555555555555553E-3</v>
      </c>
    </row>
    <row r="140" spans="1:17" ht="15">
      <c r="B140" s="1902">
        <v>5</v>
      </c>
      <c r="C140" s="1903">
        <v>100</v>
      </c>
      <c r="D140" s="1903"/>
      <c r="E140" s="1904"/>
      <c r="F140" s="1905">
        <v>102</v>
      </c>
      <c r="G140" s="1903"/>
      <c r="H140" s="1906"/>
      <c r="I140" s="1907" t="s">
        <v>2287</v>
      </c>
      <c r="J140" s="1908">
        <f>ROUNDUP((J139-1)/2,0)</f>
        <v>10</v>
      </c>
      <c r="K140" s="1909">
        <v>100</v>
      </c>
    </row>
    <row r="141" spans="1:17" ht="15">
      <c r="B141" s="1902">
        <v>4</v>
      </c>
      <c r="C141" s="1903">
        <v>102</v>
      </c>
      <c r="D141" s="1903"/>
      <c r="E141" s="1904"/>
      <c r="F141" s="1905">
        <v>101.5</v>
      </c>
      <c r="G141" s="1903"/>
      <c r="H141" s="1906"/>
      <c r="I141" s="1907" t="s">
        <v>2288</v>
      </c>
      <c r="J141" s="1908">
        <v>1</v>
      </c>
      <c r="K141" s="1910">
        <f>ROUND(100+(J141-J140)*K139*100,1)</f>
        <v>96.4</v>
      </c>
    </row>
    <row r="142" spans="1:17" ht="15">
      <c r="B142" s="1902">
        <v>3</v>
      </c>
      <c r="C142" s="1903">
        <v>103</v>
      </c>
      <c r="D142" s="1903"/>
      <c r="E142" s="1904"/>
      <c r="F142" s="1905">
        <v>101</v>
      </c>
      <c r="G142" s="1903"/>
      <c r="H142" s="1906"/>
      <c r="I142" s="1907" t="s">
        <v>2289</v>
      </c>
      <c r="J142" s="1908">
        <f>J139</f>
        <v>20</v>
      </c>
      <c r="K142" s="1911">
        <v>95</v>
      </c>
    </row>
    <row r="143" spans="1:17" ht="15">
      <c r="B143" s="1902">
        <v>2</v>
      </c>
      <c r="C143" s="1903">
        <v>100</v>
      </c>
      <c r="D143" s="1903"/>
      <c r="E143" s="1904"/>
      <c r="F143" s="1905">
        <v>100.5</v>
      </c>
      <c r="G143" s="1903"/>
      <c r="H143" s="1906"/>
      <c r="I143" s="1907" t="s">
        <v>2290</v>
      </c>
      <c r="J143" s="1903">
        <v>15</v>
      </c>
      <c r="K143" s="1910">
        <f>ROUND(100+(J143-J140)*K139*100,1)</f>
        <v>102</v>
      </c>
    </row>
    <row r="144" spans="1:17" ht="15">
      <c r="B144" s="1902">
        <v>1</v>
      </c>
      <c r="C144" s="1903">
        <v>98</v>
      </c>
      <c r="D144" s="1390" t="s">
        <v>2291</v>
      </c>
      <c r="E144" s="1904">
        <v>102</v>
      </c>
      <c r="F144" s="1912">
        <v>100</v>
      </c>
      <c r="G144" s="1390" t="s">
        <v>2291</v>
      </c>
      <c r="H144" s="1906">
        <v>105</v>
      </c>
      <c r="I144" s="1907" t="s">
        <v>2290</v>
      </c>
      <c r="J144" s="1903">
        <v>18</v>
      </c>
      <c r="K144" s="1910">
        <f>ROUND(100+(J144-J140)*K139*100,1)</f>
        <v>103.2</v>
      </c>
    </row>
    <row r="145" spans="2:11" ht="15.75" thickBot="1">
      <c r="B145" s="1913" t="s">
        <v>2292</v>
      </c>
      <c r="C145" s="1914">
        <f>ROUND(MAX(C139:C144)/MIN(C139:C144)-1,3)</f>
        <v>7.2999999999999995E-2</v>
      </c>
      <c r="D145" s="1915"/>
      <c r="E145" s="1915"/>
      <c r="F145" s="1544" t="s">
        <v>2293</v>
      </c>
      <c r="G145" s="1916"/>
      <c r="H145" s="1917"/>
      <c r="I145" s="1918" t="s">
        <v>2290</v>
      </c>
      <c r="J145" s="1919">
        <v>8</v>
      </c>
      <c r="K145" s="1920">
        <f>ROUND(100+(J145-J140)*K139*100,1)</f>
        <v>99.2</v>
      </c>
    </row>
    <row r="147" spans="2:11">
      <c r="B147" s="1543" t="s">
        <v>2294</v>
      </c>
    </row>
    <row r="148" spans="2:11">
      <c r="B148" s="1543" t="s">
        <v>2295</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3" priority="20" stopIfTrue="1" operator="containsText" text="超过">
      <formula>NOT(ISERROR(SEARCH("超过",F52)))</formula>
    </cfRule>
  </conditionalFormatting>
  <conditionalFormatting sqref="J54">
    <cfRule type="containsText" dxfId="132" priority="19" stopIfTrue="1" operator="containsText" text="超过">
      <formula>NOT(ISERROR(SEARCH("超过",J54)))</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J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G54">
    <cfRule type="expression" dxfId="127" priority="13" stopIfTrue="1">
      <formula>$H$54="超过30%"</formula>
    </cfRule>
  </conditionalFormatting>
  <conditionalFormatting sqref="E53">
    <cfRule type="expression" dxfId="126" priority="12" stopIfTrue="1">
      <formula>$F$53="超过20%"</formula>
    </cfRule>
  </conditionalFormatting>
  <conditionalFormatting sqref="E54">
    <cfRule type="expression" dxfId="125" priority="11" stopIfTrue="1">
      <formula>$F$54="超过30%"</formula>
    </cfRule>
  </conditionalFormatting>
  <conditionalFormatting sqref="G52">
    <cfRule type="expression" dxfId="124" priority="10" stopIfTrue="1">
      <formula>$H$52="超过30%"</formula>
    </cfRule>
  </conditionalFormatting>
  <conditionalFormatting sqref="G53">
    <cfRule type="expression" dxfId="123" priority="9" stopIfTrue="1">
      <formula>$H$53="超过20%"</formula>
    </cfRule>
  </conditionalFormatting>
  <conditionalFormatting sqref="I52">
    <cfRule type="expression" dxfId="122" priority="8" stopIfTrue="1">
      <formula>$J$52="超过30%"</formula>
    </cfRule>
  </conditionalFormatting>
  <conditionalFormatting sqref="I53">
    <cfRule type="expression" dxfId="121" priority="7" stopIfTrue="1">
      <formula>$J$53="超过20%"</formula>
    </cfRule>
  </conditionalFormatting>
  <conditionalFormatting sqref="I54">
    <cfRule type="expression" dxfId="120" priority="6"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2296</v>
      </c>
      <c r="C1" s="1609"/>
      <c r="D1" s="2440"/>
      <c r="E1" s="1611"/>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1857</v>
      </c>
      <c r="B2" s="1620" t="e">
        <f ca="1">IF(D2="——",IF(C2="元",ROUND(C49*D3,0),ROUND(C49*D3/10000,0)),IF(C2="元",ROUND(C49*D3,0),ROUND(C49*D3/10000,0))-E2)</f>
        <v>#DIV/0!</v>
      </c>
      <c r="C2" s="1621" t="str">
        <f>'数据-取费表'!B3</f>
        <v>万元</v>
      </c>
      <c r="D2" s="1622"/>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1858</v>
      </c>
      <c r="B3" s="1933" t="e">
        <f ca="1">ROUND(IF(D2="——",C49,IF(C2="万元",B2*10000/D3,B2/D3)),0)</f>
        <v>#DIV/0!</v>
      </c>
      <c r="C3" s="1630" t="s">
        <v>2186</v>
      </c>
      <c r="D3" s="1630">
        <f>IF(C1="仅计算典型户型",'数据-取费表'!E5,'数据-取费表'!B5)</f>
        <v>134.43</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2187</v>
      </c>
      <c r="B4" s="1634"/>
      <c r="C4" s="3557" t="s">
        <v>2188</v>
      </c>
      <c r="D4" s="3558"/>
      <c r="E4" s="3559" t="s">
        <v>2189</v>
      </c>
      <c r="F4" s="3560"/>
      <c r="G4" s="3557" t="s">
        <v>2190</v>
      </c>
      <c r="H4" s="3558"/>
      <c r="I4" s="3557" t="s">
        <v>2191</v>
      </c>
      <c r="J4" s="3558"/>
      <c r="K4" s="1936" t="s">
        <v>2192</v>
      </c>
      <c r="L4" s="2967"/>
      <c r="M4" s="2968"/>
      <c r="N4" s="2968"/>
      <c r="O4" s="2968"/>
      <c r="P4" s="3561" t="s">
        <v>2193</v>
      </c>
      <c r="Q4" s="3562"/>
      <c r="R4" s="3567" t="s">
        <v>2189</v>
      </c>
      <c r="S4" s="3568"/>
      <c r="T4" s="3567" t="s">
        <v>2190</v>
      </c>
      <c r="U4" s="3568"/>
      <c r="V4" s="3573" t="s">
        <v>2191</v>
      </c>
      <c r="W4" s="3573"/>
      <c r="X4" s="2045"/>
      <c r="Y4" s="3567" t="s">
        <v>2193</v>
      </c>
      <c r="Z4" s="3568"/>
      <c r="AA4" s="3554" t="s">
        <v>2189</v>
      </c>
      <c r="AB4" s="3573" t="s">
        <v>2190</v>
      </c>
      <c r="AC4" s="3554" t="s">
        <v>2191</v>
      </c>
    </row>
    <row r="5" spans="1:29" ht="15">
      <c r="A5" s="1638"/>
      <c r="B5" s="1639"/>
      <c r="C5" s="3550" t="s">
        <v>2194</v>
      </c>
      <c r="D5" s="3551"/>
      <c r="E5" s="3574" t="s">
        <v>2195</v>
      </c>
      <c r="F5" s="3575"/>
      <c r="G5" s="3550" t="s">
        <v>2196</v>
      </c>
      <c r="H5" s="3551"/>
      <c r="I5" s="3550" t="s">
        <v>2197</v>
      </c>
      <c r="J5" s="3551"/>
      <c r="K5" s="1936"/>
      <c r="L5" s="2967"/>
      <c r="M5" s="2968"/>
      <c r="N5" s="2968"/>
      <c r="O5" s="2968"/>
      <c r="P5" s="3563"/>
      <c r="Q5" s="3564"/>
      <c r="R5" s="3569"/>
      <c r="S5" s="3570"/>
      <c r="T5" s="3569"/>
      <c r="U5" s="3570"/>
      <c r="V5" s="3573"/>
      <c r="W5" s="3573"/>
      <c r="X5" s="2045"/>
      <c r="Y5" s="3569"/>
      <c r="Z5" s="3570"/>
      <c r="AA5" s="3555"/>
      <c r="AB5" s="3573"/>
      <c r="AC5" s="3555"/>
    </row>
    <row r="6" spans="1:29" ht="15.75" thickBot="1">
      <c r="A6" s="1641"/>
      <c r="B6" s="1642"/>
      <c r="C6" s="3547" t="s">
        <v>2198</v>
      </c>
      <c r="D6" s="3548"/>
      <c r="E6" s="3545" t="s">
        <v>2198</v>
      </c>
      <c r="F6" s="3546"/>
      <c r="G6" s="3547" t="s">
        <v>2198</v>
      </c>
      <c r="H6" s="3548"/>
      <c r="I6" s="3547" t="s">
        <v>2198</v>
      </c>
      <c r="J6" s="3548"/>
      <c r="K6" s="1936" t="s">
        <v>2199</v>
      </c>
      <c r="L6" s="2967"/>
      <c r="M6" s="2968"/>
      <c r="N6" s="2968"/>
      <c r="O6" s="2968"/>
      <c r="P6" s="3565"/>
      <c r="Q6" s="3566"/>
      <c r="R6" s="3569"/>
      <c r="S6" s="3570"/>
      <c r="T6" s="3571"/>
      <c r="U6" s="3572"/>
      <c r="V6" s="3573"/>
      <c r="W6" s="3573"/>
      <c r="X6" s="2045"/>
      <c r="Y6" s="3571"/>
      <c r="Z6" s="3572"/>
      <c r="AA6" s="3556"/>
      <c r="AB6" s="3573"/>
      <c r="AC6" s="3556"/>
    </row>
    <row r="7" spans="1:29" s="1655" customFormat="1" ht="15.75" thickBot="1">
      <c r="A7" s="1643" t="s">
        <v>2200</v>
      </c>
      <c r="B7" s="1644"/>
      <c r="C7" s="1645">
        <f>'数据-取费表'!B2</f>
        <v>44553</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552" t="s">
        <v>2201</v>
      </c>
      <c r="Q7" s="3576"/>
      <c r="R7" s="1651" t="s">
        <v>25</v>
      </c>
      <c r="S7" s="1652">
        <f t="shared" ref="S7:S15" si="0">F7</f>
        <v>0</v>
      </c>
      <c r="T7" s="1651" t="s">
        <v>25</v>
      </c>
      <c r="U7" s="1652">
        <f t="shared" ref="U7:U15" si="1">H7</f>
        <v>0</v>
      </c>
      <c r="V7" s="1651" t="s">
        <v>25</v>
      </c>
      <c r="W7" s="1652">
        <f t="shared" ref="W7:W15" si="2">J7</f>
        <v>0</v>
      </c>
      <c r="X7" s="1653"/>
      <c r="Y7" s="3552" t="s">
        <v>2201</v>
      </c>
      <c r="Z7" s="3553"/>
      <c r="AA7" s="1654" t="e">
        <f>D7/F7</f>
        <v>#DIV/0!</v>
      </c>
      <c r="AB7" s="1654" t="e">
        <f>D7/H7</f>
        <v>#DIV/0!</v>
      </c>
      <c r="AC7" s="1654" t="e">
        <f>D7/J7</f>
        <v>#DIV/0!</v>
      </c>
    </row>
    <row r="8" spans="1:29" s="1655" customFormat="1" ht="15.75" thickBot="1">
      <c r="A8" s="1643" t="s">
        <v>2202</v>
      </c>
      <c r="B8" s="1644"/>
      <c r="C8" s="1656" t="s">
        <v>2203</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552" t="s">
        <v>2204</v>
      </c>
      <c r="Q8" s="3553"/>
      <c r="R8" s="1651" t="s">
        <v>25</v>
      </c>
      <c r="S8" s="1652">
        <f t="shared" si="0"/>
        <v>0</v>
      </c>
      <c r="T8" s="1651" t="s">
        <v>25</v>
      </c>
      <c r="U8" s="1652">
        <f t="shared" si="1"/>
        <v>0</v>
      </c>
      <c r="V8" s="1651" t="s">
        <v>25</v>
      </c>
      <c r="W8" s="1652">
        <f t="shared" si="2"/>
        <v>0</v>
      </c>
      <c r="X8" s="1653"/>
      <c r="Y8" s="3552" t="s">
        <v>2204</v>
      </c>
      <c r="Z8" s="3553"/>
      <c r="AA8" s="1654" t="e">
        <f t="shared" ref="AA8:AA46" si="3">D8/F8</f>
        <v>#DIV/0!</v>
      </c>
      <c r="AB8" s="1654" t="e">
        <f t="shared" ref="AB8:AB46" si="4">D8/H8</f>
        <v>#DIV/0!</v>
      </c>
      <c r="AC8" s="1654" t="e">
        <f t="shared" ref="AC8:AC46" si="5">D8/J8</f>
        <v>#DIV/0!</v>
      </c>
    </row>
    <row r="9" spans="1:29" s="1655" customFormat="1">
      <c r="A9" s="2037" t="s">
        <v>2205</v>
      </c>
      <c r="B9" s="1658" t="s">
        <v>2206</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44" t="s">
        <v>2207</v>
      </c>
      <c r="Q9" s="2036" t="str">
        <f t="shared" ref="Q9:Q15" si="6">B9</f>
        <v>用途</v>
      </c>
      <c r="R9" s="1651" t="s">
        <v>25</v>
      </c>
      <c r="S9" s="1652">
        <f t="shared" si="0"/>
        <v>100</v>
      </c>
      <c r="T9" s="1651" t="s">
        <v>25</v>
      </c>
      <c r="U9" s="1652">
        <f t="shared" si="1"/>
        <v>100</v>
      </c>
      <c r="V9" s="1651" t="s">
        <v>25</v>
      </c>
      <c r="W9" s="1652">
        <f t="shared" si="2"/>
        <v>100</v>
      </c>
      <c r="X9" s="1653"/>
      <c r="Y9" s="3478"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44"/>
      <c r="Q10" s="2036" t="str">
        <f t="shared" si="6"/>
        <v>土地使用年限（年）</v>
      </c>
      <c r="R10" s="1651" t="s">
        <v>25</v>
      </c>
      <c r="S10" s="1652">
        <f t="shared" si="0"/>
        <v>100</v>
      </c>
      <c r="T10" s="1651" t="s">
        <v>25</v>
      </c>
      <c r="U10" s="1652">
        <f t="shared" si="1"/>
        <v>100</v>
      </c>
      <c r="V10" s="1651" t="s">
        <v>25</v>
      </c>
      <c r="W10" s="1652">
        <f t="shared" si="2"/>
        <v>100</v>
      </c>
      <c r="X10" s="1653"/>
      <c r="Y10" s="3478"/>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44"/>
      <c r="Q11" s="2036" t="str">
        <f t="shared" si="6"/>
        <v>容积率</v>
      </c>
      <c r="R11" s="1651" t="s">
        <v>25</v>
      </c>
      <c r="S11" s="1652" t="e">
        <f t="shared" si="0"/>
        <v>#N/A</v>
      </c>
      <c r="T11" s="1651" t="s">
        <v>25</v>
      </c>
      <c r="U11" s="1652" t="e">
        <f t="shared" si="1"/>
        <v>#N/A</v>
      </c>
      <c r="V11" s="1651" t="s">
        <v>25</v>
      </c>
      <c r="W11" s="1652" t="e">
        <f t="shared" si="2"/>
        <v>#N/A</v>
      </c>
      <c r="X11" s="1653"/>
      <c r="Y11" s="3478"/>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44"/>
      <c r="Q12" s="2036">
        <f t="shared" si="6"/>
        <v>111</v>
      </c>
      <c r="R12" s="1651" t="s">
        <v>25</v>
      </c>
      <c r="S12" s="1652">
        <f t="shared" si="0"/>
        <v>100</v>
      </c>
      <c r="T12" s="1651" t="s">
        <v>25</v>
      </c>
      <c r="U12" s="1652">
        <f t="shared" si="1"/>
        <v>100</v>
      </c>
      <c r="V12" s="1651" t="s">
        <v>25</v>
      </c>
      <c r="W12" s="1652">
        <f t="shared" si="2"/>
        <v>100</v>
      </c>
      <c r="X12" s="1653"/>
      <c r="Y12" s="3478"/>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44"/>
      <c r="Q13" s="2036">
        <f t="shared" si="6"/>
        <v>111</v>
      </c>
      <c r="R13" s="1651" t="s">
        <v>25</v>
      </c>
      <c r="S13" s="1652">
        <f t="shared" si="0"/>
        <v>100</v>
      </c>
      <c r="T13" s="1651" t="s">
        <v>25</v>
      </c>
      <c r="U13" s="1652">
        <f t="shared" si="1"/>
        <v>100</v>
      </c>
      <c r="V13" s="1651" t="s">
        <v>25</v>
      </c>
      <c r="W13" s="1652">
        <f t="shared" si="2"/>
        <v>100</v>
      </c>
      <c r="X13" s="1653"/>
      <c r="Y13" s="3478"/>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44"/>
      <c r="Q14" s="2036">
        <f t="shared" si="6"/>
        <v>111</v>
      </c>
      <c r="R14" s="1651" t="s">
        <v>25</v>
      </c>
      <c r="S14" s="1652">
        <f t="shared" si="0"/>
        <v>100</v>
      </c>
      <c r="T14" s="1651" t="s">
        <v>25</v>
      </c>
      <c r="U14" s="1652">
        <f t="shared" si="1"/>
        <v>100</v>
      </c>
      <c r="V14" s="1651" t="s">
        <v>25</v>
      </c>
      <c r="W14" s="1652">
        <f t="shared" si="2"/>
        <v>100</v>
      </c>
      <c r="X14" s="1653"/>
      <c r="Y14" s="3478"/>
      <c r="Z14" s="1664">
        <f t="shared" si="7"/>
        <v>111</v>
      </c>
      <c r="AA14" s="1654">
        <f t="shared" si="3"/>
        <v>1</v>
      </c>
      <c r="AB14" s="1654">
        <f t="shared" si="4"/>
        <v>1</v>
      </c>
      <c r="AC14" s="1654">
        <f t="shared" si="5"/>
        <v>1</v>
      </c>
    </row>
    <row r="15" spans="1:29" ht="71.25">
      <c r="A15" s="1688" t="s">
        <v>2211</v>
      </c>
      <c r="B15" s="1689" t="s">
        <v>2297</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45" t="s">
        <v>2212</v>
      </c>
      <c r="Q15" s="2042" t="str">
        <f t="shared" si="6"/>
        <v>商业繁华度</v>
      </c>
      <c r="R15" s="1696" t="s">
        <v>25</v>
      </c>
      <c r="S15" s="1697">
        <f t="shared" si="0"/>
        <v>100</v>
      </c>
      <c r="T15" s="1696" t="s">
        <v>25</v>
      </c>
      <c r="U15" s="1697">
        <f t="shared" si="1"/>
        <v>100</v>
      </c>
      <c r="V15" s="1696" t="s">
        <v>25</v>
      </c>
      <c r="W15" s="1697">
        <f t="shared" si="2"/>
        <v>100</v>
      </c>
      <c r="X15" s="2045"/>
      <c r="Y15" s="3577" t="s">
        <v>2212</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46"/>
      <c r="Q16" s="2042"/>
      <c r="R16" s="1696"/>
      <c r="S16" s="1697"/>
      <c r="T16" s="1696"/>
      <c r="U16" s="1697"/>
      <c r="V16" s="1696"/>
      <c r="W16" s="1697"/>
      <c r="X16" s="2045"/>
      <c r="Y16" s="3578"/>
      <c r="Z16" s="2049"/>
      <c r="AA16" s="2040">
        <v>1</v>
      </c>
      <c r="AB16" s="2040">
        <v>1</v>
      </c>
      <c r="AC16" s="2040">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46"/>
      <c r="Q17" s="2042" t="str">
        <f>B17</f>
        <v>交通便捷度</v>
      </c>
      <c r="R17" s="1696" t="s">
        <v>25</v>
      </c>
      <c r="S17" s="1697">
        <f>F17</f>
        <v>100</v>
      </c>
      <c r="T17" s="1696" t="s">
        <v>25</v>
      </c>
      <c r="U17" s="1697">
        <f>H17</f>
        <v>100</v>
      </c>
      <c r="V17" s="1696" t="s">
        <v>25</v>
      </c>
      <c r="W17" s="1697">
        <f>J17</f>
        <v>100</v>
      </c>
      <c r="X17" s="2045"/>
      <c r="Y17" s="3578"/>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46"/>
      <c r="Q18" s="2042"/>
      <c r="R18" s="1696"/>
      <c r="S18" s="1697"/>
      <c r="T18" s="1696"/>
      <c r="U18" s="1697"/>
      <c r="V18" s="1696"/>
      <c r="W18" s="1697"/>
      <c r="X18" s="2045"/>
      <c r="Y18" s="3578"/>
      <c r="Z18" s="2049"/>
      <c r="AA18" s="2040">
        <v>1</v>
      </c>
      <c r="AB18" s="2040">
        <v>1</v>
      </c>
      <c r="AC18" s="2040">
        <v>1</v>
      </c>
    </row>
    <row r="19" spans="1:29" ht="42.75">
      <c r="A19" s="1673"/>
      <c r="B19" s="1708" t="s">
        <v>2298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46"/>
      <c r="Q19" s="2042" t="str">
        <f>B19</f>
        <v>公共配套设施</v>
      </c>
      <c r="R19" s="1696" t="s">
        <v>25</v>
      </c>
      <c r="S19" s="1697">
        <f>F19</f>
        <v>100</v>
      </c>
      <c r="T19" s="1696" t="s">
        <v>25</v>
      </c>
      <c r="U19" s="1697">
        <f>H19</f>
        <v>100</v>
      </c>
      <c r="V19" s="1696" t="s">
        <v>25</v>
      </c>
      <c r="W19" s="1697">
        <f>J19</f>
        <v>100</v>
      </c>
      <c r="X19" s="2045"/>
      <c r="Y19" s="3578"/>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46"/>
      <c r="Q20" s="2042"/>
      <c r="R20" s="1696"/>
      <c r="S20" s="1697"/>
      <c r="T20" s="1696"/>
      <c r="U20" s="1697"/>
      <c r="V20" s="1696"/>
      <c r="W20" s="1697"/>
      <c r="X20" s="2045"/>
      <c r="Y20" s="3578"/>
      <c r="Z20" s="2049"/>
      <c r="AA20" s="2040">
        <v>1</v>
      </c>
      <c r="AB20" s="2040">
        <v>1</v>
      </c>
      <c r="AC20" s="2040">
        <v>1</v>
      </c>
    </row>
    <row r="21" spans="1:29" ht="28.5">
      <c r="A21" s="1673"/>
      <c r="B21" s="1721" t="s">
        <v>2299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46"/>
      <c r="Q21" s="2042" t="str">
        <f>B21</f>
        <v>基础设施水平</v>
      </c>
      <c r="R21" s="1696" t="s">
        <v>25</v>
      </c>
      <c r="S21" s="1697">
        <f>F21</f>
        <v>100</v>
      </c>
      <c r="T21" s="1696" t="s">
        <v>25</v>
      </c>
      <c r="U21" s="1697">
        <f>H21</f>
        <v>100</v>
      </c>
      <c r="V21" s="1696" t="s">
        <v>25</v>
      </c>
      <c r="W21" s="1697">
        <f>J21</f>
        <v>100</v>
      </c>
      <c r="X21" s="2045"/>
      <c r="Y21" s="3578"/>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46"/>
      <c r="Q22" s="2042"/>
      <c r="R22" s="1696"/>
      <c r="S22" s="1697"/>
      <c r="T22" s="1696"/>
      <c r="U22" s="1697"/>
      <c r="V22" s="1696"/>
      <c r="W22" s="1697"/>
      <c r="X22" s="2045"/>
      <c r="Y22" s="3578"/>
      <c r="Z22" s="2049"/>
      <c r="AA22" s="2040">
        <v>1</v>
      </c>
      <c r="AB22" s="2040">
        <v>1</v>
      </c>
      <c r="AC22" s="2040">
        <v>1</v>
      </c>
    </row>
    <row r="23" spans="1:29" ht="57">
      <c r="A23" s="1673"/>
      <c r="B23" s="1708" t="s">
        <v>1651</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46"/>
      <c r="Q23" s="2042" t="str">
        <f>B23</f>
        <v>自然及人文环境</v>
      </c>
      <c r="R23" s="1696" t="s">
        <v>25</v>
      </c>
      <c r="S23" s="1697">
        <f>F23</f>
        <v>100</v>
      </c>
      <c r="T23" s="1696" t="s">
        <v>25</v>
      </c>
      <c r="U23" s="1697">
        <f>H23</f>
        <v>100</v>
      </c>
      <c r="V23" s="1696" t="s">
        <v>25</v>
      </c>
      <c r="W23" s="1697">
        <f>J23</f>
        <v>100</v>
      </c>
      <c r="X23" s="2045"/>
      <c r="Y23" s="3578"/>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46"/>
      <c r="Q24" s="2042"/>
      <c r="R24" s="1696"/>
      <c r="S24" s="1697"/>
      <c r="T24" s="1696"/>
      <c r="U24" s="1697"/>
      <c r="V24" s="1696"/>
      <c r="W24" s="1697"/>
      <c r="X24" s="2045"/>
      <c r="Y24" s="3578"/>
      <c r="Z24" s="2049"/>
      <c r="AA24" s="2040">
        <v>1</v>
      </c>
      <c r="AB24" s="2040">
        <v>1</v>
      </c>
      <c r="AC24" s="2040">
        <v>1</v>
      </c>
    </row>
    <row r="25" spans="1:29" ht="15">
      <c r="A25" s="1673"/>
      <c r="B25" s="1666" t="s">
        <v>2300</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46"/>
      <c r="Q25" s="2042" t="str">
        <f t="shared" ref="Q25:Q46" si="11">B25</f>
        <v>临街状况</v>
      </c>
      <c r="R25" s="1696" t="s">
        <v>25</v>
      </c>
      <c r="S25" s="1697">
        <f>F25</f>
        <v>100</v>
      </c>
      <c r="T25" s="1696" t="s">
        <v>25</v>
      </c>
      <c r="U25" s="1697">
        <f>H25</f>
        <v>100</v>
      </c>
      <c r="V25" s="1696" t="s">
        <v>25</v>
      </c>
      <c r="W25" s="1697">
        <f>J25</f>
        <v>100</v>
      </c>
      <c r="X25" s="2045"/>
      <c r="Y25" s="3578"/>
      <c r="Z25" s="2049" t="str">
        <f>Q25</f>
        <v>临街状况</v>
      </c>
      <c r="AA25" s="2040">
        <f t="shared" si="3"/>
        <v>1</v>
      </c>
      <c r="AB25" s="2040">
        <f t="shared" si="4"/>
        <v>1</v>
      </c>
      <c r="AC25" s="2040">
        <f t="shared" si="5"/>
        <v>1</v>
      </c>
    </row>
    <row r="26" spans="1:29" ht="15">
      <c r="A26" s="1673"/>
      <c r="B26" s="1731" t="s">
        <v>2301</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46"/>
      <c r="Q26" s="2042" t="str">
        <f t="shared" si="11"/>
        <v>平面位置/可视性</v>
      </c>
      <c r="R26" s="1696" t="s">
        <v>25</v>
      </c>
      <c r="S26" s="1697">
        <f>F26</f>
        <v>100</v>
      </c>
      <c r="T26" s="1696" t="s">
        <v>25</v>
      </c>
      <c r="U26" s="1697">
        <f>H26</f>
        <v>100</v>
      </c>
      <c r="V26" s="1696" t="s">
        <v>25</v>
      </c>
      <c r="W26" s="1697">
        <f>J26</f>
        <v>100</v>
      </c>
      <c r="X26" s="2045"/>
      <c r="Y26" s="3578"/>
      <c r="Z26" s="2049" t="str">
        <f>Q26</f>
        <v>平面位置/可视性</v>
      </c>
      <c r="AA26" s="2040">
        <f t="shared" si="3"/>
        <v>1</v>
      </c>
      <c r="AB26" s="2040">
        <f t="shared" si="4"/>
        <v>1</v>
      </c>
      <c r="AC26" s="2040">
        <f t="shared" si="5"/>
        <v>1</v>
      </c>
    </row>
    <row r="27" spans="1:29" s="1655" customFormat="1" ht="15">
      <c r="A27" s="1676"/>
      <c r="B27" s="1708" t="s">
        <v>2302</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46"/>
      <c r="Q27" s="2036" t="str">
        <f t="shared" si="11"/>
        <v>人流量</v>
      </c>
      <c r="R27" s="1651" t="s">
        <v>25</v>
      </c>
      <c r="S27" s="1652">
        <f>F27</f>
        <v>100</v>
      </c>
      <c r="T27" s="1651" t="s">
        <v>25</v>
      </c>
      <c r="U27" s="1652">
        <f>H27</f>
        <v>100</v>
      </c>
      <c r="V27" s="1651" t="s">
        <v>25</v>
      </c>
      <c r="W27" s="1652">
        <f>J27</f>
        <v>100</v>
      </c>
      <c r="X27" s="1653"/>
      <c r="Y27" s="3578"/>
      <c r="Z27" s="1664" t="str">
        <f>Q27</f>
        <v>人流量</v>
      </c>
      <c r="AA27" s="2040">
        <f>D27/F27</f>
        <v>1</v>
      </c>
      <c r="AB27" s="2040">
        <f>D27/H27</f>
        <v>1</v>
      </c>
      <c r="AC27" s="2040">
        <f>D27/J27</f>
        <v>1</v>
      </c>
    </row>
    <row r="28" spans="1:29" ht="15">
      <c r="A28" s="1673"/>
      <c r="B28" s="1666" t="s">
        <v>2303</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46"/>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578"/>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46"/>
      <c r="Q29" s="2042">
        <f t="shared" si="11"/>
        <v>111</v>
      </c>
      <c r="R29" s="1696" t="s">
        <v>25</v>
      </c>
      <c r="S29" s="1697">
        <f t="shared" si="12"/>
        <v>100</v>
      </c>
      <c r="T29" s="1696" t="s">
        <v>25</v>
      </c>
      <c r="U29" s="1697">
        <f t="shared" si="13"/>
        <v>100</v>
      </c>
      <c r="V29" s="1696" t="s">
        <v>25</v>
      </c>
      <c r="W29" s="1697">
        <f t="shared" si="14"/>
        <v>100</v>
      </c>
      <c r="X29" s="2045"/>
      <c r="Y29" s="3578"/>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46"/>
      <c r="Q30" s="2042">
        <f t="shared" si="11"/>
        <v>111</v>
      </c>
      <c r="R30" s="1696" t="s">
        <v>25</v>
      </c>
      <c r="S30" s="1697">
        <f t="shared" si="12"/>
        <v>100</v>
      </c>
      <c r="T30" s="1696" t="s">
        <v>25</v>
      </c>
      <c r="U30" s="1697">
        <f t="shared" si="13"/>
        <v>100</v>
      </c>
      <c r="V30" s="1696" t="s">
        <v>25</v>
      </c>
      <c r="W30" s="1697">
        <f t="shared" si="14"/>
        <v>100</v>
      </c>
      <c r="X30" s="2045"/>
      <c r="Y30" s="3578"/>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46"/>
      <c r="Q31" s="2042">
        <f t="shared" si="11"/>
        <v>111</v>
      </c>
      <c r="R31" s="1696" t="s">
        <v>25</v>
      </c>
      <c r="S31" s="1697">
        <f t="shared" si="12"/>
        <v>100</v>
      </c>
      <c r="T31" s="1696" t="s">
        <v>25</v>
      </c>
      <c r="U31" s="1697">
        <f t="shared" si="13"/>
        <v>100</v>
      </c>
      <c r="V31" s="1696" t="s">
        <v>25</v>
      </c>
      <c r="W31" s="1697">
        <f t="shared" si="14"/>
        <v>100</v>
      </c>
      <c r="X31" s="2045"/>
      <c r="Y31" s="3578"/>
      <c r="Z31" s="2049">
        <f t="shared" si="15"/>
        <v>111</v>
      </c>
      <c r="AA31" s="2040">
        <f t="shared" si="3"/>
        <v>1</v>
      </c>
      <c r="AB31" s="2040">
        <f t="shared" si="4"/>
        <v>1</v>
      </c>
      <c r="AC31" s="2040">
        <f t="shared" si="5"/>
        <v>1</v>
      </c>
    </row>
    <row r="32" spans="1:29" ht="15">
      <c r="A32" s="1688" t="s">
        <v>2216</v>
      </c>
      <c r="B32" s="1658" t="s">
        <v>2304</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41" t="s">
        <v>2218</v>
      </c>
      <c r="Q32" s="2042" t="str">
        <f t="shared" si="11"/>
        <v>商业类型</v>
      </c>
      <c r="R32" s="1696" t="s">
        <v>25</v>
      </c>
      <c r="S32" s="1697">
        <f t="shared" si="12"/>
        <v>100</v>
      </c>
      <c r="T32" s="1696" t="s">
        <v>25</v>
      </c>
      <c r="U32" s="1697">
        <f t="shared" si="13"/>
        <v>100</v>
      </c>
      <c r="V32" s="1696" t="s">
        <v>25</v>
      </c>
      <c r="W32" s="1697">
        <f t="shared" si="14"/>
        <v>100</v>
      </c>
      <c r="X32" s="2045"/>
      <c r="Y32" s="3580" t="s">
        <v>2218</v>
      </c>
      <c r="Z32" s="2049" t="str">
        <f t="shared" si="15"/>
        <v>商业类型</v>
      </c>
      <c r="AA32" s="2040">
        <f t="shared" si="3"/>
        <v>1</v>
      </c>
      <c r="AB32" s="2040">
        <f t="shared" si="4"/>
        <v>1</v>
      </c>
      <c r="AC32" s="2040">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642"/>
      <c r="Q33" s="1737" t="str">
        <f t="shared" si="11"/>
        <v>项目建筑规模</v>
      </c>
      <c r="R33" s="1738" t="s">
        <v>25</v>
      </c>
      <c r="S33" s="1739" t="e">
        <f t="shared" si="12"/>
        <v>#N/A</v>
      </c>
      <c r="T33" s="1738" t="s">
        <v>25</v>
      </c>
      <c r="U33" s="1739" t="e">
        <f t="shared" si="13"/>
        <v>#N/A</v>
      </c>
      <c r="V33" s="1738" t="s">
        <v>25</v>
      </c>
      <c r="W33" s="1739" t="e">
        <f t="shared" si="14"/>
        <v>#N/A</v>
      </c>
      <c r="X33" s="1740"/>
      <c r="Y33" s="3580"/>
      <c r="Z33" s="1741" t="str">
        <f t="shared" si="15"/>
        <v>项目建筑规模</v>
      </c>
      <c r="AA33" s="2040" t="e">
        <f t="shared" si="3"/>
        <v>#N/A</v>
      </c>
      <c r="AB33" s="2040" t="e">
        <f t="shared" si="4"/>
        <v>#N/A</v>
      </c>
      <c r="AC33" s="2040"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42"/>
      <c r="Q34" s="2042" t="str">
        <f t="shared" si="11"/>
        <v>建筑结构</v>
      </c>
      <c r="R34" s="1696" t="s">
        <v>25</v>
      </c>
      <c r="S34" s="1697">
        <f t="shared" si="12"/>
        <v>100</v>
      </c>
      <c r="T34" s="1696" t="s">
        <v>25</v>
      </c>
      <c r="U34" s="1697">
        <f t="shared" si="13"/>
        <v>100</v>
      </c>
      <c r="V34" s="1696" t="s">
        <v>25</v>
      </c>
      <c r="W34" s="1697">
        <f t="shared" si="14"/>
        <v>100</v>
      </c>
      <c r="X34" s="2045"/>
      <c r="Y34" s="3580"/>
      <c r="Z34" s="2049" t="str">
        <f t="shared" si="15"/>
        <v>建筑结构</v>
      </c>
      <c r="AA34" s="2040">
        <f t="shared" si="3"/>
        <v>1</v>
      </c>
      <c r="AB34" s="2040">
        <f t="shared" si="4"/>
        <v>1</v>
      </c>
      <c r="AC34" s="2040">
        <f t="shared" si="5"/>
        <v>1</v>
      </c>
    </row>
    <row r="35" spans="1:29" ht="15">
      <c r="A35" s="1743"/>
      <c r="B35" s="1666" t="s">
        <v>2305</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42"/>
      <c r="Q35" s="2042" t="str">
        <f t="shared" si="11"/>
        <v>公共部分装修</v>
      </c>
      <c r="R35" s="1696" t="s">
        <v>25</v>
      </c>
      <c r="S35" s="1697">
        <f t="shared" si="12"/>
        <v>100</v>
      </c>
      <c r="T35" s="1696" t="s">
        <v>25</v>
      </c>
      <c r="U35" s="1697">
        <f t="shared" si="13"/>
        <v>100</v>
      </c>
      <c r="V35" s="1696" t="s">
        <v>25</v>
      </c>
      <c r="W35" s="1697">
        <f t="shared" si="14"/>
        <v>100</v>
      </c>
      <c r="X35" s="2045"/>
      <c r="Y35" s="3580"/>
      <c r="Z35" s="2049" t="str">
        <f t="shared" si="15"/>
        <v>公共部分装修</v>
      </c>
      <c r="AA35" s="2040">
        <f t="shared" si="3"/>
        <v>1</v>
      </c>
      <c r="AB35" s="2040">
        <f t="shared" si="4"/>
        <v>1</v>
      </c>
      <c r="AC35" s="2040">
        <f t="shared" si="5"/>
        <v>1</v>
      </c>
    </row>
    <row r="36" spans="1:29" ht="15">
      <c r="A36" s="1743"/>
      <c r="B36" s="1666" t="s">
        <v>2306</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642"/>
      <c r="Q36" s="2042" t="str">
        <f t="shared" si="11"/>
        <v>成新度</v>
      </c>
      <c r="R36" s="1696" t="s">
        <v>25</v>
      </c>
      <c r="S36" s="1697" t="e">
        <f t="shared" si="12"/>
        <v>#N/A</v>
      </c>
      <c r="T36" s="1696" t="s">
        <v>25</v>
      </c>
      <c r="U36" s="1697" t="e">
        <f t="shared" si="13"/>
        <v>#N/A</v>
      </c>
      <c r="V36" s="1696" t="s">
        <v>25</v>
      </c>
      <c r="W36" s="1697" t="e">
        <f t="shared" si="14"/>
        <v>#N/A</v>
      </c>
      <c r="X36" s="2045"/>
      <c r="Y36" s="3580"/>
      <c r="Z36" s="2049" t="str">
        <f t="shared" si="15"/>
        <v>成新度</v>
      </c>
      <c r="AA36" s="2040" t="e">
        <f t="shared" si="3"/>
        <v>#N/A</v>
      </c>
      <c r="AB36" s="2040" t="e">
        <f t="shared" si="4"/>
        <v>#N/A</v>
      </c>
      <c r="AC36" s="2040" t="e">
        <f t="shared" si="5"/>
        <v>#N/A</v>
      </c>
    </row>
    <row r="37" spans="1:29" s="1655" customFormat="1" ht="15">
      <c r="A37" s="1746"/>
      <c r="B37" s="1666" t="s">
        <v>2307</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42"/>
      <c r="Q37" s="2036" t="str">
        <f t="shared" si="11"/>
        <v>市政基础设施</v>
      </c>
      <c r="R37" s="1651" t="s">
        <v>25</v>
      </c>
      <c r="S37" s="1652">
        <f t="shared" si="12"/>
        <v>100</v>
      </c>
      <c r="T37" s="1651" t="s">
        <v>25</v>
      </c>
      <c r="U37" s="1652">
        <f t="shared" si="13"/>
        <v>100</v>
      </c>
      <c r="V37" s="1651" t="s">
        <v>25</v>
      </c>
      <c r="W37" s="1652">
        <f t="shared" si="14"/>
        <v>100</v>
      </c>
      <c r="X37" s="1653"/>
      <c r="Y37" s="3580"/>
      <c r="Z37" s="1664" t="str">
        <f t="shared" si="15"/>
        <v>市政基础设施</v>
      </c>
      <c r="AA37" s="1654">
        <f t="shared" si="3"/>
        <v>1</v>
      </c>
      <c r="AB37" s="1654">
        <f t="shared" si="4"/>
        <v>1</v>
      </c>
      <c r="AC37" s="1654">
        <f t="shared" si="5"/>
        <v>1</v>
      </c>
    </row>
    <row r="38" spans="1:29" ht="15">
      <c r="A38" s="1743"/>
      <c r="B38" s="1666" t="s">
        <v>2308</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42" t="s">
        <v>2218</v>
      </c>
      <c r="Q38" s="2042" t="str">
        <f t="shared" si="11"/>
        <v>业态</v>
      </c>
      <c r="R38" s="1696" t="s">
        <v>25</v>
      </c>
      <c r="S38" s="1697">
        <f t="shared" si="12"/>
        <v>100</v>
      </c>
      <c r="T38" s="1696" t="s">
        <v>25</v>
      </c>
      <c r="U38" s="1697">
        <f t="shared" si="13"/>
        <v>100</v>
      </c>
      <c r="V38" s="1696" t="s">
        <v>25</v>
      </c>
      <c r="W38" s="1697">
        <f t="shared" si="14"/>
        <v>100</v>
      </c>
      <c r="X38" s="2045"/>
      <c r="Y38" s="3580" t="s">
        <v>2218</v>
      </c>
      <c r="Z38" s="2049" t="str">
        <f t="shared" si="15"/>
        <v>业态</v>
      </c>
      <c r="AA38" s="2040">
        <f t="shared" si="3"/>
        <v>1</v>
      </c>
      <c r="AB38" s="2040">
        <f t="shared" si="4"/>
        <v>1</v>
      </c>
      <c r="AC38" s="2040">
        <f t="shared" si="5"/>
        <v>1</v>
      </c>
    </row>
    <row r="39" spans="1:29" ht="15">
      <c r="A39" s="1743"/>
      <c r="B39" s="1666" t="s">
        <v>2309</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42"/>
      <c r="Q39" s="2042" t="str">
        <f t="shared" si="11"/>
        <v>层高</v>
      </c>
      <c r="R39" s="1696" t="s">
        <v>25</v>
      </c>
      <c r="S39" s="1697">
        <f t="shared" si="12"/>
        <v>100</v>
      </c>
      <c r="T39" s="1696" t="s">
        <v>25</v>
      </c>
      <c r="U39" s="1697">
        <f t="shared" si="13"/>
        <v>100</v>
      </c>
      <c r="V39" s="1696" t="s">
        <v>25</v>
      </c>
      <c r="W39" s="1697">
        <f t="shared" si="14"/>
        <v>100</v>
      </c>
      <c r="X39" s="2045"/>
      <c r="Y39" s="3580"/>
      <c r="Z39" s="2049" t="str">
        <f t="shared" si="15"/>
        <v>层高</v>
      </c>
      <c r="AA39" s="2040">
        <f t="shared" si="3"/>
        <v>1</v>
      </c>
      <c r="AB39" s="2040">
        <f t="shared" si="4"/>
        <v>1</v>
      </c>
      <c r="AC39" s="2040">
        <f t="shared" si="5"/>
        <v>1</v>
      </c>
    </row>
    <row r="40" spans="1:29" ht="15">
      <c r="A40" s="1743"/>
      <c r="B40" s="1666" t="s">
        <v>2310</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42"/>
      <c r="Q40" s="2042" t="str">
        <f t="shared" si="11"/>
        <v>单套建筑面积</v>
      </c>
      <c r="R40" s="1696" t="s">
        <v>25</v>
      </c>
      <c r="S40" s="1697">
        <f t="shared" si="12"/>
        <v>100</v>
      </c>
      <c r="T40" s="1696" t="s">
        <v>25</v>
      </c>
      <c r="U40" s="1697">
        <f t="shared" si="13"/>
        <v>100</v>
      </c>
      <c r="V40" s="1696" t="s">
        <v>25</v>
      </c>
      <c r="W40" s="1697">
        <f t="shared" si="14"/>
        <v>100</v>
      </c>
      <c r="X40" s="2045"/>
      <c r="Y40" s="3580"/>
      <c r="Z40" s="2049" t="str">
        <f t="shared" si="15"/>
        <v>单套建筑面积</v>
      </c>
      <c r="AA40" s="2040">
        <f t="shared" si="3"/>
        <v>1</v>
      </c>
      <c r="AB40" s="2040">
        <f t="shared" si="4"/>
        <v>1</v>
      </c>
      <c r="AC40" s="2040">
        <f t="shared" si="5"/>
        <v>1</v>
      </c>
    </row>
    <row r="41" spans="1:29" s="1742" customFormat="1" ht="15">
      <c r="A41" s="1735"/>
      <c r="B41" s="2041" t="s">
        <v>2311</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42"/>
      <c r="Q41" s="1737" t="str">
        <f t="shared" si="11"/>
        <v>进深比</v>
      </c>
      <c r="R41" s="1738" t="s">
        <v>25</v>
      </c>
      <c r="S41" s="1739">
        <f t="shared" si="12"/>
        <v>100</v>
      </c>
      <c r="T41" s="1738" t="s">
        <v>25</v>
      </c>
      <c r="U41" s="1739">
        <f t="shared" si="13"/>
        <v>100</v>
      </c>
      <c r="V41" s="1738" t="s">
        <v>25</v>
      </c>
      <c r="W41" s="1739">
        <f t="shared" si="14"/>
        <v>100</v>
      </c>
      <c r="X41" s="1740"/>
      <c r="Y41" s="3580"/>
      <c r="Z41" s="1741" t="str">
        <f t="shared" si="15"/>
        <v>进深比</v>
      </c>
      <c r="AA41" s="2040">
        <f t="shared" si="3"/>
        <v>1</v>
      </c>
      <c r="AB41" s="2040">
        <f t="shared" si="4"/>
        <v>1</v>
      </c>
      <c r="AC41" s="2040">
        <f t="shared" si="5"/>
        <v>1</v>
      </c>
    </row>
    <row r="42" spans="1:29" ht="15">
      <c r="A42" s="1743"/>
      <c r="B42" s="1666" t="s">
        <v>2312</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42"/>
      <c r="Q42" s="2042" t="str">
        <f t="shared" si="11"/>
        <v>内部装修</v>
      </c>
      <c r="R42" s="1696" t="s">
        <v>25</v>
      </c>
      <c r="S42" s="1697">
        <f t="shared" si="12"/>
        <v>100</v>
      </c>
      <c r="T42" s="1696" t="s">
        <v>25</v>
      </c>
      <c r="U42" s="1697">
        <f t="shared" si="13"/>
        <v>100</v>
      </c>
      <c r="V42" s="1696" t="s">
        <v>25</v>
      </c>
      <c r="W42" s="1697">
        <f t="shared" si="14"/>
        <v>100</v>
      </c>
      <c r="X42" s="2045"/>
      <c r="Y42" s="3580"/>
      <c r="Z42" s="2049" t="str">
        <f t="shared" si="15"/>
        <v>内部装修</v>
      </c>
      <c r="AA42" s="2040">
        <f t="shared" si="3"/>
        <v>1</v>
      </c>
      <c r="AB42" s="2040">
        <f t="shared" si="4"/>
        <v>1</v>
      </c>
      <c r="AC42" s="2040">
        <f t="shared" si="5"/>
        <v>1</v>
      </c>
    </row>
    <row r="43" spans="1:29" ht="15">
      <c r="A43" s="1743"/>
      <c r="B43" s="1666" t="s">
        <v>2229</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42"/>
      <c r="Q43" s="2042" t="str">
        <f t="shared" si="11"/>
        <v>内部装修维护情况</v>
      </c>
      <c r="R43" s="1696" t="s">
        <v>25</v>
      </c>
      <c r="S43" s="1697">
        <f t="shared" si="12"/>
        <v>100</v>
      </c>
      <c r="T43" s="1696" t="s">
        <v>25</v>
      </c>
      <c r="U43" s="1697">
        <f t="shared" si="13"/>
        <v>100</v>
      </c>
      <c r="V43" s="1696" t="s">
        <v>25</v>
      </c>
      <c r="W43" s="1697">
        <f t="shared" si="14"/>
        <v>100</v>
      </c>
      <c r="X43" s="2045"/>
      <c r="Y43" s="3580"/>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42"/>
      <c r="Q44" s="2036">
        <f t="shared" si="11"/>
        <v>111</v>
      </c>
      <c r="R44" s="1651" t="s">
        <v>25</v>
      </c>
      <c r="S44" s="1652">
        <f t="shared" si="12"/>
        <v>100</v>
      </c>
      <c r="T44" s="1651" t="s">
        <v>25</v>
      </c>
      <c r="U44" s="1652">
        <f t="shared" si="13"/>
        <v>100</v>
      </c>
      <c r="V44" s="1651" t="s">
        <v>25</v>
      </c>
      <c r="W44" s="1652">
        <f t="shared" si="14"/>
        <v>100</v>
      </c>
      <c r="X44" s="1653"/>
      <c r="Y44" s="3580"/>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42"/>
      <c r="Q45" s="2042">
        <f t="shared" si="11"/>
        <v>111</v>
      </c>
      <c r="R45" s="1696" t="s">
        <v>25</v>
      </c>
      <c r="S45" s="1697">
        <f t="shared" si="12"/>
        <v>100</v>
      </c>
      <c r="T45" s="1696" t="s">
        <v>25</v>
      </c>
      <c r="U45" s="1697">
        <f t="shared" si="13"/>
        <v>100</v>
      </c>
      <c r="V45" s="1696" t="s">
        <v>25</v>
      </c>
      <c r="W45" s="1697">
        <f t="shared" si="14"/>
        <v>100</v>
      </c>
      <c r="X45" s="2045"/>
      <c r="Y45" s="3580"/>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43"/>
      <c r="Q46" s="2042">
        <f t="shared" si="11"/>
        <v>111</v>
      </c>
      <c r="R46" s="1696" t="s">
        <v>25</v>
      </c>
      <c r="S46" s="1697">
        <f t="shared" si="12"/>
        <v>100</v>
      </c>
      <c r="T46" s="1696" t="s">
        <v>25</v>
      </c>
      <c r="U46" s="1697">
        <f t="shared" si="13"/>
        <v>100</v>
      </c>
      <c r="V46" s="1696" t="s">
        <v>25</v>
      </c>
      <c r="W46" s="1697">
        <f t="shared" si="14"/>
        <v>100</v>
      </c>
      <c r="X46" s="2045"/>
      <c r="Y46" s="3581"/>
      <c r="Z46" s="2049">
        <f t="shared" si="15"/>
        <v>111</v>
      </c>
      <c r="AA46" s="2040">
        <f t="shared" si="3"/>
        <v>1</v>
      </c>
      <c r="AB46" s="2040">
        <f t="shared" si="4"/>
        <v>1</v>
      </c>
      <c r="AC46" s="2040">
        <f t="shared" si="5"/>
        <v>1</v>
      </c>
    </row>
    <row r="47" spans="1:29" ht="15">
      <c r="A47" s="1752" t="s">
        <v>2230</v>
      </c>
      <c r="B47" s="1753"/>
      <c r="C47" s="1754" t="s">
        <v>1</v>
      </c>
      <c r="D47" s="1755"/>
      <c r="E47" s="1756"/>
      <c r="F47" s="1757"/>
      <c r="G47" s="1758"/>
      <c r="H47" s="1759"/>
      <c r="I47" s="1756"/>
      <c r="J47" s="1759"/>
      <c r="K47" s="1984"/>
      <c r="L47" s="2973"/>
      <c r="N47" s="2968"/>
      <c r="P47" s="3549" t="str">
        <f>A47</f>
        <v>成交单价（元/平方米）</v>
      </c>
      <c r="Q47" s="3549"/>
      <c r="R47" s="3582">
        <f>E47</f>
        <v>0</v>
      </c>
      <c r="S47" s="3582"/>
      <c r="T47" s="3582">
        <f>G47</f>
        <v>0</v>
      </c>
      <c r="U47" s="3582"/>
      <c r="V47" s="3582">
        <f>I47</f>
        <v>0</v>
      </c>
      <c r="W47" s="3582"/>
      <c r="X47" s="1762"/>
      <c r="Y47" s="2044"/>
      <c r="Z47" s="1762"/>
      <c r="AA47" s="1762"/>
      <c r="AB47" s="1762"/>
      <c r="AC47" s="1762"/>
    </row>
    <row r="48" spans="1:29" ht="15.75" thickBot="1">
      <c r="A48" s="1764" t="s">
        <v>2313</v>
      </c>
      <c r="B48" s="1765"/>
      <c r="C48" s="1766" t="e">
        <f>R49</f>
        <v>#DIV/0!</v>
      </c>
      <c r="D48" s="1767" t="s">
        <v>2687</v>
      </c>
      <c r="E48" s="1768" t="e">
        <f>R48</f>
        <v>#DIV/0!</v>
      </c>
      <c r="F48" s="1769"/>
      <c r="G48" s="1766" t="e">
        <f>T48</f>
        <v>#DIV/0!</v>
      </c>
      <c r="H48" s="1769"/>
      <c r="I48" s="1768" t="e">
        <f>V48</f>
        <v>#DIV/0!</v>
      </c>
      <c r="J48" s="1769"/>
      <c r="K48" s="2481">
        <f>F48+H48+J48</f>
        <v>0</v>
      </c>
      <c r="L48" s="2973"/>
      <c r="N48" s="2968"/>
      <c r="P48" s="3549" t="str">
        <f>A48</f>
        <v>比较价值（元/平方米）</v>
      </c>
      <c r="Q48" s="3549"/>
      <c r="R48" s="3582" t="e">
        <f>IF(E1="售价",ROUND(PRODUCT(R47,AA7:AA46),0),ROUND(PRODUCT(R47,AA7:AA46),1))</f>
        <v>#DIV/0!</v>
      </c>
      <c r="S48" s="3582"/>
      <c r="T48" s="3582" t="e">
        <f>IF(E1="售价",ROUND(PRODUCT(T47,AB7:AB46),0),ROUND(PRODUCT(T47,AB7:AB46),1))</f>
        <v>#DIV/0!</v>
      </c>
      <c r="U48" s="3582"/>
      <c r="V48" s="3582" t="e">
        <f>IF(E1="售价",ROUND(PRODUCT(V47,AC7:AC46),0),ROUND(PRODUCT(V47,AC7:AC46),1))</f>
        <v>#DIV/0!</v>
      </c>
      <c r="W48" s="3582"/>
      <c r="X48" s="1762"/>
      <c r="Y48" s="1762"/>
      <c r="Z48" s="1762"/>
      <c r="AA48" s="1762"/>
      <c r="AB48" s="1762"/>
      <c r="AC48" s="1762"/>
    </row>
    <row r="49" spans="1:29" ht="15.75" thickBot="1">
      <c r="A49" s="1770" t="s">
        <v>2314</v>
      </c>
      <c r="B49" s="1771"/>
      <c r="C49" s="1773" t="e">
        <f>R49</f>
        <v>#DIV/0!</v>
      </c>
      <c r="D49" s="1773"/>
      <c r="E49" s="1773"/>
      <c r="F49" s="1773"/>
      <c r="G49" s="1773"/>
      <c r="H49" s="1773"/>
      <c r="I49" s="1773"/>
      <c r="J49" s="1773"/>
      <c r="K49" s="1989"/>
      <c r="L49" s="2973"/>
      <c r="N49" s="2968"/>
      <c r="P49" s="3583" t="str">
        <f>A49</f>
        <v>估价对象XX用房的比较价值（楼面单价，元/平方米）</v>
      </c>
      <c r="Q49" s="3584"/>
      <c r="R49" s="3585" t="e">
        <f>IF(E1="售价",ROUND(IF(D48="简单平均",AVERAGE(R48:V48),R48*F48+T48*H48+V48*J48),0),ROUND(IF(D48="简单平均",AVERAGE(R48:V48),R48*F48+T48*H48+V48*J48),1))</f>
        <v>#DIV/0!</v>
      </c>
      <c r="S49" s="3585"/>
      <c r="T49" s="3585"/>
      <c r="U49" s="3585"/>
      <c r="V49" s="3585"/>
      <c r="W49" s="3585"/>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2315</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2316</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2317</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2318</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2200</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2202</v>
      </c>
      <c r="B61" s="1800"/>
      <c r="C61" s="1811" t="s">
        <v>2203</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2241</v>
      </c>
      <c r="B63" s="1818" t="s">
        <v>2206</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2210</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2299</v>
      </c>
      <c r="C82" s="1830" t="s">
        <v>2257</v>
      </c>
      <c r="D82" s="1830" t="s">
        <v>2258</v>
      </c>
      <c r="E82" s="1830" t="s">
        <v>2259</v>
      </c>
      <c r="F82" s="1830" t="s">
        <v>2260</v>
      </c>
      <c r="G82" s="1830" t="s">
        <v>2261</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2319</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2216</v>
      </c>
      <c r="B100" s="1818" t="s">
        <v>2320</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2266</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2267</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2269</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2270</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2272</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2321</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2322</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2323</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2324</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2274</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2183</v>
      </c>
      <c r="B1" s="1197" t="s">
        <v>2342</v>
      </c>
      <c r="C1" s="1189"/>
      <c r="D1" s="1202"/>
      <c r="E1" s="1529"/>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1858</v>
      </c>
      <c r="B3" s="495" t="e">
        <f ca="1">ROUND(IF(D2="——",C43,IF(C2="万元",B2*10000/D3,B2/D3)),0)</f>
        <v>#DIV/0!</v>
      </c>
      <c r="C3" s="293" t="s">
        <v>2186</v>
      </c>
      <c r="D3" s="292">
        <f>IF(C1="仅计算典型户型",'数据-取费表'!E5,'数据-取费表'!B5)</f>
        <v>134.43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61" t="s">
        <v>2188</v>
      </c>
      <c r="D4" s="3662"/>
      <c r="E4" s="3663" t="s">
        <v>2189</v>
      </c>
      <c r="F4" s="3664"/>
      <c r="G4" s="3661" t="s">
        <v>2190</v>
      </c>
      <c r="H4" s="3662"/>
      <c r="I4" s="3661" t="s">
        <v>2191</v>
      </c>
      <c r="J4" s="3662"/>
      <c r="K4" s="496" t="s">
        <v>2192</v>
      </c>
      <c r="L4" s="2995"/>
      <c r="M4" s="2996"/>
      <c r="N4" s="2996"/>
      <c r="O4" s="2996"/>
      <c r="P4" s="3665" t="s">
        <v>2193</v>
      </c>
      <c r="Q4" s="3666"/>
      <c r="R4" s="3671" t="s">
        <v>2189</v>
      </c>
      <c r="S4" s="3672"/>
      <c r="T4" s="3671" t="s">
        <v>2190</v>
      </c>
      <c r="U4" s="3672"/>
      <c r="V4" s="3677" t="s">
        <v>2191</v>
      </c>
      <c r="W4" s="3677"/>
      <c r="X4" s="1305"/>
      <c r="Y4" s="3671" t="s">
        <v>2193</v>
      </c>
      <c r="Z4" s="3672"/>
      <c r="AA4" s="3658" t="s">
        <v>2189</v>
      </c>
      <c r="AB4" s="3659" t="s">
        <v>2190</v>
      </c>
      <c r="AC4" s="3658" t="s">
        <v>2191</v>
      </c>
    </row>
    <row r="5" spans="1:29" ht="15">
      <c r="A5" s="297"/>
      <c r="B5" s="298"/>
      <c r="C5" s="3654" t="s">
        <v>2194</v>
      </c>
      <c r="D5" s="3655"/>
      <c r="E5" s="3678" t="s">
        <v>2195</v>
      </c>
      <c r="F5" s="3679"/>
      <c r="G5" s="3654" t="s">
        <v>2196</v>
      </c>
      <c r="H5" s="3655"/>
      <c r="I5" s="3654" t="s">
        <v>2197</v>
      </c>
      <c r="J5" s="3655"/>
      <c r="K5" s="496"/>
      <c r="L5" s="2995"/>
      <c r="M5" s="2996"/>
      <c r="N5" s="2996"/>
      <c r="O5" s="2996"/>
      <c r="P5" s="3667"/>
      <c r="Q5" s="3668"/>
      <c r="R5" s="3673"/>
      <c r="S5" s="3674"/>
      <c r="T5" s="3673"/>
      <c r="U5" s="3674"/>
      <c r="V5" s="3677"/>
      <c r="W5" s="3677"/>
      <c r="X5" s="1305"/>
      <c r="Y5" s="3673"/>
      <c r="Z5" s="3674"/>
      <c r="AA5" s="3659"/>
      <c r="AB5" s="3659"/>
      <c r="AC5" s="3659"/>
    </row>
    <row r="6" spans="1:29" ht="15.75" thickBot="1">
      <c r="A6" s="299"/>
      <c r="B6" s="300"/>
      <c r="C6" s="3651" t="s">
        <v>2198</v>
      </c>
      <c r="D6" s="3652"/>
      <c r="E6" s="3649" t="s">
        <v>2198</v>
      </c>
      <c r="F6" s="3650"/>
      <c r="G6" s="3651" t="s">
        <v>2198</v>
      </c>
      <c r="H6" s="3652"/>
      <c r="I6" s="3651" t="s">
        <v>2198</v>
      </c>
      <c r="J6" s="3652"/>
      <c r="K6" s="496" t="s">
        <v>2199</v>
      </c>
      <c r="L6" s="2995"/>
      <c r="M6" s="2996"/>
      <c r="N6" s="2996"/>
      <c r="O6" s="2996"/>
      <c r="P6" s="3669"/>
      <c r="Q6" s="3670"/>
      <c r="R6" s="3673"/>
      <c r="S6" s="3674"/>
      <c r="T6" s="3675"/>
      <c r="U6" s="3676"/>
      <c r="V6" s="3677"/>
      <c r="W6" s="3677"/>
      <c r="X6" s="1305"/>
      <c r="Y6" s="3675"/>
      <c r="Z6" s="3676"/>
      <c r="AA6" s="3660"/>
      <c r="AB6" s="3660"/>
      <c r="AC6" s="3660"/>
    </row>
    <row r="7" spans="1:29" s="25" customFormat="1" ht="15.75" thickBot="1">
      <c r="A7" s="301" t="s">
        <v>2200</v>
      </c>
      <c r="B7" s="302"/>
      <c r="C7" s="303">
        <f>'数据-取费表'!B2</f>
        <v>44553</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56" t="s">
        <v>2201</v>
      </c>
      <c r="Q7" s="3680"/>
      <c r="R7" s="627" t="s">
        <v>25</v>
      </c>
      <c r="S7" s="628">
        <f t="shared" ref="S7:S15" si="0">F7</f>
        <v>0</v>
      </c>
      <c r="T7" s="627" t="s">
        <v>25</v>
      </c>
      <c r="U7" s="628">
        <f t="shared" ref="U7:U15" si="1">H7</f>
        <v>0</v>
      </c>
      <c r="V7" s="627" t="s">
        <v>25</v>
      </c>
      <c r="W7" s="628">
        <f t="shared" ref="W7:W15" si="2">J7</f>
        <v>0</v>
      </c>
      <c r="X7" s="629"/>
      <c r="Y7" s="3656" t="s">
        <v>2201</v>
      </c>
      <c r="Z7" s="3657"/>
      <c r="AA7" s="630" t="e">
        <f>D7/F7</f>
        <v>#DIV/0!</v>
      </c>
      <c r="AB7" s="630" t="e">
        <f>D7/H7</f>
        <v>#DIV/0!</v>
      </c>
      <c r="AC7" s="630" t="e">
        <f>D7/J7</f>
        <v>#DIV/0!</v>
      </c>
    </row>
    <row r="8" spans="1:29" s="25" customFormat="1" ht="15.75" thickBot="1">
      <c r="A8" s="301" t="s">
        <v>2202</v>
      </c>
      <c r="B8" s="302"/>
      <c r="C8" s="307" t="s">
        <v>2826</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56" t="s">
        <v>2204</v>
      </c>
      <c r="Q8" s="3657"/>
      <c r="R8" s="627" t="s">
        <v>25</v>
      </c>
      <c r="S8" s="628">
        <f t="shared" si="0"/>
        <v>0</v>
      </c>
      <c r="T8" s="627" t="s">
        <v>25</v>
      </c>
      <c r="U8" s="628">
        <f t="shared" si="1"/>
        <v>0</v>
      </c>
      <c r="V8" s="627" t="s">
        <v>25</v>
      </c>
      <c r="W8" s="628">
        <f t="shared" si="2"/>
        <v>0</v>
      </c>
      <c r="X8" s="629"/>
      <c r="Y8" s="3656" t="s">
        <v>2204</v>
      </c>
      <c r="Z8" s="3657"/>
      <c r="AA8" s="630" t="e">
        <f t="shared" ref="AA8:AA40" si="3">D8/F8</f>
        <v>#DIV/0!</v>
      </c>
      <c r="AB8" s="630" t="e">
        <f t="shared" ref="AB8:AB40" si="4">D8/H8</f>
        <v>#DIV/0!</v>
      </c>
      <c r="AC8" s="630" t="e">
        <f t="shared" ref="AC8:AC40" si="5">D8/J8</f>
        <v>#DIV/0!</v>
      </c>
    </row>
    <row r="9" spans="1:29" s="25" customFormat="1">
      <c r="A9" s="308" t="s">
        <v>2205</v>
      </c>
      <c r="B9" s="24" t="s">
        <v>2206</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53" t="s">
        <v>2207</v>
      </c>
      <c r="Q9" s="1297" t="str">
        <f t="shared" ref="Q9:Q15" si="6">B9</f>
        <v>用途</v>
      </c>
      <c r="R9" s="627" t="s">
        <v>25</v>
      </c>
      <c r="S9" s="628">
        <f t="shared" si="0"/>
        <v>100</v>
      </c>
      <c r="T9" s="627" t="s">
        <v>25</v>
      </c>
      <c r="U9" s="628">
        <f t="shared" si="1"/>
        <v>100</v>
      </c>
      <c r="V9" s="627" t="s">
        <v>25</v>
      </c>
      <c r="W9" s="628">
        <f t="shared" si="2"/>
        <v>100</v>
      </c>
      <c r="X9" s="629"/>
      <c r="Y9" s="3683" t="s">
        <v>2208</v>
      </c>
      <c r="Z9" s="19" t="str">
        <f t="shared" ref="Z9:Z15" si="7">Q9</f>
        <v>用途</v>
      </c>
      <c r="AA9" s="630">
        <f t="shared" si="3"/>
        <v>1</v>
      </c>
      <c r="AB9" s="630">
        <f t="shared" si="4"/>
        <v>1</v>
      </c>
      <c r="AC9" s="630">
        <f t="shared" si="5"/>
        <v>1</v>
      </c>
    </row>
    <row r="10" spans="1:29" s="317" customFormat="1" ht="27">
      <c r="A10" s="312"/>
      <c r="B10" s="313" t="s">
        <v>2209</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53"/>
      <c r="Q10" s="1297" t="str">
        <f t="shared" si="6"/>
        <v>土地使用年限（年）</v>
      </c>
      <c r="R10" s="627" t="s">
        <v>25</v>
      </c>
      <c r="S10" s="628">
        <f t="shared" si="0"/>
        <v>100</v>
      </c>
      <c r="T10" s="627" t="s">
        <v>25</v>
      </c>
      <c r="U10" s="628">
        <f t="shared" si="1"/>
        <v>100</v>
      </c>
      <c r="V10" s="627" t="s">
        <v>25</v>
      </c>
      <c r="W10" s="628">
        <f t="shared" si="2"/>
        <v>100</v>
      </c>
      <c r="X10" s="629"/>
      <c r="Y10" s="3683"/>
      <c r="Z10" s="19" t="str">
        <f t="shared" si="7"/>
        <v>土地使用年限（年）</v>
      </c>
      <c r="AA10" s="630">
        <f t="shared" si="3"/>
        <v>1</v>
      </c>
      <c r="AB10" s="630">
        <f t="shared" si="4"/>
        <v>1</v>
      </c>
      <c r="AC10" s="630">
        <f t="shared" si="5"/>
        <v>1</v>
      </c>
    </row>
    <row r="11" spans="1:29" ht="15">
      <c r="A11" s="318"/>
      <c r="B11" s="313" t="s">
        <v>2210</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53"/>
      <c r="Q11" s="1297" t="str">
        <f t="shared" si="6"/>
        <v>容积率</v>
      </c>
      <c r="R11" s="627" t="s">
        <v>25</v>
      </c>
      <c r="S11" s="628" t="e">
        <f t="shared" si="0"/>
        <v>#N/A</v>
      </c>
      <c r="T11" s="627" t="s">
        <v>25</v>
      </c>
      <c r="U11" s="628" t="e">
        <f t="shared" si="1"/>
        <v>#N/A</v>
      </c>
      <c r="V11" s="627" t="s">
        <v>25</v>
      </c>
      <c r="W11" s="628" t="e">
        <f t="shared" si="2"/>
        <v>#N/A</v>
      </c>
      <c r="X11" s="629"/>
      <c r="Y11" s="3683"/>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53"/>
      <c r="Q12" s="1297">
        <f t="shared" si="6"/>
        <v>111</v>
      </c>
      <c r="R12" s="627" t="s">
        <v>25</v>
      </c>
      <c r="S12" s="628">
        <f t="shared" si="0"/>
        <v>100</v>
      </c>
      <c r="T12" s="627" t="s">
        <v>25</v>
      </c>
      <c r="U12" s="628">
        <f t="shared" si="1"/>
        <v>100</v>
      </c>
      <c r="V12" s="627" t="s">
        <v>25</v>
      </c>
      <c r="W12" s="628">
        <f t="shared" si="2"/>
        <v>100</v>
      </c>
      <c r="X12" s="629"/>
      <c r="Y12" s="3683"/>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53"/>
      <c r="Q13" s="1297">
        <f t="shared" si="6"/>
        <v>111</v>
      </c>
      <c r="R13" s="627" t="s">
        <v>25</v>
      </c>
      <c r="S13" s="628">
        <f t="shared" si="0"/>
        <v>100</v>
      </c>
      <c r="T13" s="627" t="s">
        <v>25</v>
      </c>
      <c r="U13" s="628">
        <f t="shared" si="1"/>
        <v>100</v>
      </c>
      <c r="V13" s="627" t="s">
        <v>25</v>
      </c>
      <c r="W13" s="628">
        <f t="shared" si="2"/>
        <v>100</v>
      </c>
      <c r="X13" s="629"/>
      <c r="Y13" s="3683"/>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53"/>
      <c r="Q14" s="1297">
        <f t="shared" si="6"/>
        <v>111</v>
      </c>
      <c r="R14" s="627" t="s">
        <v>25</v>
      </c>
      <c r="S14" s="628">
        <f t="shared" si="0"/>
        <v>100</v>
      </c>
      <c r="T14" s="627" t="s">
        <v>25</v>
      </c>
      <c r="U14" s="628">
        <f t="shared" si="1"/>
        <v>100</v>
      </c>
      <c r="V14" s="627" t="s">
        <v>25</v>
      </c>
      <c r="W14" s="628">
        <f t="shared" si="2"/>
        <v>100</v>
      </c>
      <c r="X14" s="629"/>
      <c r="Y14" s="3683"/>
      <c r="Z14" s="19">
        <f t="shared" si="7"/>
        <v>111</v>
      </c>
      <c r="AA14" s="630">
        <f t="shared" si="3"/>
        <v>1</v>
      </c>
      <c r="AB14" s="630">
        <f t="shared" si="4"/>
        <v>1</v>
      </c>
      <c r="AC14" s="630">
        <f t="shared" si="5"/>
        <v>1</v>
      </c>
    </row>
    <row r="15" spans="1:29" ht="57">
      <c r="A15" s="329" t="s">
        <v>2211</v>
      </c>
      <c r="B15" s="22" t="s">
        <v>2343</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81" t="s">
        <v>2212</v>
      </c>
      <c r="Q15" s="1304" t="str">
        <f t="shared" si="6"/>
        <v>产业集聚程度</v>
      </c>
      <c r="R15" s="631" t="s">
        <v>25</v>
      </c>
      <c r="S15" s="632">
        <f t="shared" si="0"/>
        <v>100</v>
      </c>
      <c r="T15" s="631" t="s">
        <v>25</v>
      </c>
      <c r="U15" s="632">
        <f t="shared" si="1"/>
        <v>100</v>
      </c>
      <c r="V15" s="631" t="s">
        <v>25</v>
      </c>
      <c r="W15" s="632">
        <f t="shared" si="2"/>
        <v>100</v>
      </c>
      <c r="X15" s="1305"/>
      <c r="Y15" s="3681" t="s">
        <v>2212</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82"/>
      <c r="Q16" s="1304"/>
      <c r="R16" s="631"/>
      <c r="S16" s="632"/>
      <c r="T16" s="631"/>
      <c r="U16" s="632"/>
      <c r="V16" s="631"/>
      <c r="W16" s="632"/>
      <c r="X16" s="1305"/>
      <c r="Y16" s="3682"/>
      <c r="Z16" s="1306"/>
      <c r="AA16" s="1307">
        <v>1</v>
      </c>
      <c r="AB16" s="1307">
        <v>1</v>
      </c>
      <c r="AC16" s="1307">
        <v>1</v>
      </c>
    </row>
    <row r="17" spans="1:29" ht="85.5">
      <c r="A17" s="318"/>
      <c r="B17" s="340" t="s">
        <v>1649</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82"/>
      <c r="Q17" s="1304" t="str">
        <f>B17</f>
        <v>交通便捷度</v>
      </c>
      <c r="R17" s="631" t="s">
        <v>25</v>
      </c>
      <c r="S17" s="632">
        <f>F17</f>
        <v>100</v>
      </c>
      <c r="T17" s="631" t="s">
        <v>25</v>
      </c>
      <c r="U17" s="632">
        <f>H17</f>
        <v>100</v>
      </c>
      <c r="V17" s="631" t="s">
        <v>25</v>
      </c>
      <c r="W17" s="632">
        <f>J17</f>
        <v>100</v>
      </c>
      <c r="X17" s="1305"/>
      <c r="Y17" s="3682"/>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82"/>
      <c r="Q18" s="1304"/>
      <c r="R18" s="631"/>
      <c r="S18" s="632"/>
      <c r="T18" s="631"/>
      <c r="U18" s="632"/>
      <c r="V18" s="631"/>
      <c r="W18" s="632"/>
      <c r="X18" s="1305"/>
      <c r="Y18" s="3682"/>
      <c r="Z18" s="1306"/>
      <c r="AA18" s="1307">
        <v>1</v>
      </c>
      <c r="AB18" s="1307">
        <v>1</v>
      </c>
      <c r="AC18" s="1307">
        <v>1</v>
      </c>
    </row>
    <row r="19" spans="1:29" ht="42.75">
      <c r="A19" s="318"/>
      <c r="B19" s="513" t="s">
        <v>2327</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82"/>
      <c r="Q19" s="1304" t="str">
        <f>B19</f>
        <v>公共配套设施</v>
      </c>
      <c r="R19" s="631" t="s">
        <v>25</v>
      </c>
      <c r="S19" s="632">
        <f>F19</f>
        <v>100</v>
      </c>
      <c r="T19" s="631" t="s">
        <v>25</v>
      </c>
      <c r="U19" s="632">
        <f>H19</f>
        <v>100</v>
      </c>
      <c r="V19" s="631" t="s">
        <v>25</v>
      </c>
      <c r="W19" s="632">
        <f>J19</f>
        <v>100</v>
      </c>
      <c r="X19" s="1305"/>
      <c r="Y19" s="3682"/>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82"/>
      <c r="Q20" s="1304"/>
      <c r="R20" s="631"/>
      <c r="S20" s="632"/>
      <c r="T20" s="631"/>
      <c r="U20" s="632"/>
      <c r="V20" s="631"/>
      <c r="W20" s="632"/>
      <c r="X20" s="1305"/>
      <c r="Y20" s="3682"/>
      <c r="Z20" s="1306"/>
      <c r="AA20" s="1307">
        <v>1</v>
      </c>
      <c r="AB20" s="1307">
        <v>1</v>
      </c>
      <c r="AC20" s="1307">
        <v>1</v>
      </c>
    </row>
    <row r="21" spans="1:29" ht="28.5">
      <c r="A21" s="318"/>
      <c r="B21" s="515" t="s">
        <v>2328</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82"/>
      <c r="Q21" s="1304" t="str">
        <f>B21</f>
        <v>基础设施水平</v>
      </c>
      <c r="R21" s="631" t="s">
        <v>25</v>
      </c>
      <c r="S21" s="632">
        <f>F21</f>
        <v>100</v>
      </c>
      <c r="T21" s="631" t="s">
        <v>25</v>
      </c>
      <c r="U21" s="632">
        <f>H21</f>
        <v>100</v>
      </c>
      <c r="V21" s="631" t="s">
        <v>25</v>
      </c>
      <c r="W21" s="632">
        <f>J21</f>
        <v>100</v>
      </c>
      <c r="X21" s="1305"/>
      <c r="Y21" s="3682"/>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82"/>
      <c r="Q22" s="1304"/>
      <c r="R22" s="631"/>
      <c r="S22" s="632"/>
      <c r="T22" s="631"/>
      <c r="U22" s="632"/>
      <c r="V22" s="631"/>
      <c r="W22" s="632"/>
      <c r="X22" s="1305"/>
      <c r="Y22" s="3682"/>
      <c r="Z22" s="1306"/>
      <c r="AA22" s="1307">
        <v>1</v>
      </c>
      <c r="AB22" s="1307">
        <v>1</v>
      </c>
      <c r="AC22" s="1307">
        <v>1</v>
      </c>
    </row>
    <row r="23" spans="1:29" ht="71.25">
      <c r="A23" s="318"/>
      <c r="B23" s="340" t="s">
        <v>2329</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82"/>
      <c r="Q23" s="1304" t="str">
        <f>B23</f>
        <v>环境质量</v>
      </c>
      <c r="R23" s="631" t="s">
        <v>25</v>
      </c>
      <c r="S23" s="632">
        <f>F23</f>
        <v>100</v>
      </c>
      <c r="T23" s="631" t="s">
        <v>25</v>
      </c>
      <c r="U23" s="632">
        <f>H23</f>
        <v>100</v>
      </c>
      <c r="V23" s="631" t="s">
        <v>25</v>
      </c>
      <c r="W23" s="632">
        <f>J23</f>
        <v>100</v>
      </c>
      <c r="X23" s="1305"/>
      <c r="Y23" s="3682"/>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82"/>
      <c r="Q24" s="1304"/>
      <c r="R24" s="631"/>
      <c r="S24" s="632"/>
      <c r="T24" s="631"/>
      <c r="U24" s="632"/>
      <c r="V24" s="631"/>
      <c r="W24" s="632"/>
      <c r="X24" s="1305"/>
      <c r="Y24" s="3682"/>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82"/>
      <c r="Q25" s="1304">
        <f>B25</f>
        <v>111</v>
      </c>
      <c r="R25" s="631" t="s">
        <v>25</v>
      </c>
      <c r="S25" s="632">
        <f>F25</f>
        <v>100</v>
      </c>
      <c r="T25" s="631" t="s">
        <v>25</v>
      </c>
      <c r="U25" s="632">
        <f>H25</f>
        <v>100</v>
      </c>
      <c r="V25" s="631" t="s">
        <v>25</v>
      </c>
      <c r="W25" s="632">
        <f>J25</f>
        <v>100</v>
      </c>
      <c r="X25" s="1305"/>
      <c r="Y25" s="3682"/>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82"/>
      <c r="Q26" s="1304">
        <f t="shared" ref="Q26:Q40" si="11">B26</f>
        <v>111</v>
      </c>
      <c r="R26" s="631" t="s">
        <v>25</v>
      </c>
      <c r="S26" s="632">
        <f>F26</f>
        <v>100</v>
      </c>
      <c r="T26" s="631" t="s">
        <v>25</v>
      </c>
      <c r="U26" s="632">
        <f>H26</f>
        <v>100</v>
      </c>
      <c r="V26" s="631" t="s">
        <v>25</v>
      </c>
      <c r="W26" s="632">
        <f>J26</f>
        <v>100</v>
      </c>
      <c r="X26" s="1305"/>
      <c r="Y26" s="3682"/>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82"/>
      <c r="Q27" s="1297">
        <f t="shared" si="11"/>
        <v>111</v>
      </c>
      <c r="R27" s="627" t="s">
        <v>25</v>
      </c>
      <c r="S27" s="628">
        <f>F27</f>
        <v>100</v>
      </c>
      <c r="T27" s="627" t="s">
        <v>25</v>
      </c>
      <c r="U27" s="628">
        <f>H27</f>
        <v>100</v>
      </c>
      <c r="V27" s="627" t="s">
        <v>25</v>
      </c>
      <c r="W27" s="628">
        <f>J27</f>
        <v>100</v>
      </c>
      <c r="X27" s="629"/>
      <c r="Y27" s="3682"/>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82"/>
      <c r="Q28" s="1304">
        <f t="shared" si="11"/>
        <v>111</v>
      </c>
      <c r="R28" s="631" t="s">
        <v>25</v>
      </c>
      <c r="S28" s="632">
        <f t="shared" ref="S28:S40" si="12">F28</f>
        <v>100</v>
      </c>
      <c r="T28" s="631" t="s">
        <v>25</v>
      </c>
      <c r="U28" s="632">
        <f t="shared" ref="U28:U40" si="13">H28</f>
        <v>100</v>
      </c>
      <c r="V28" s="631" t="s">
        <v>25</v>
      </c>
      <c r="W28" s="632">
        <f t="shared" ref="W28:W40" si="14">J28</f>
        <v>100</v>
      </c>
      <c r="X28" s="1305"/>
      <c r="Y28" s="3682"/>
      <c r="Z28" s="1306">
        <f t="shared" ref="Z28:Z40" si="15">Q28</f>
        <v>111</v>
      </c>
      <c r="AA28" s="1307">
        <f t="shared" si="3"/>
        <v>1</v>
      </c>
      <c r="AB28" s="1307">
        <f t="shared" si="4"/>
        <v>1</v>
      </c>
      <c r="AC28" s="1307">
        <f t="shared" si="5"/>
        <v>1</v>
      </c>
    </row>
    <row r="29" spans="1:29" ht="28.5">
      <c r="A29" s="354" t="s">
        <v>2216</v>
      </c>
      <c r="B29" s="24" t="s">
        <v>2332</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84" t="s">
        <v>2218</v>
      </c>
      <c r="Q29" s="1304" t="str">
        <f t="shared" si="11"/>
        <v>建筑类型</v>
      </c>
      <c r="R29" s="631" t="s">
        <v>25</v>
      </c>
      <c r="S29" s="632">
        <f t="shared" si="12"/>
        <v>100</v>
      </c>
      <c r="T29" s="631" t="s">
        <v>25</v>
      </c>
      <c r="U29" s="632">
        <f t="shared" si="13"/>
        <v>100</v>
      </c>
      <c r="V29" s="631" t="s">
        <v>25</v>
      </c>
      <c r="W29" s="632">
        <f t="shared" si="14"/>
        <v>100</v>
      </c>
      <c r="X29" s="1305"/>
      <c r="Y29" s="3685" t="s">
        <v>2218</v>
      </c>
      <c r="Z29" s="1306" t="str">
        <f t="shared" si="15"/>
        <v>建筑类型</v>
      </c>
      <c r="AA29" s="1307">
        <f t="shared" si="3"/>
        <v>1</v>
      </c>
      <c r="AB29" s="1307">
        <f t="shared" si="4"/>
        <v>1</v>
      </c>
      <c r="AC29" s="1307">
        <f t="shared" si="5"/>
        <v>1</v>
      </c>
    </row>
    <row r="30" spans="1:29" s="359" customFormat="1" ht="15">
      <c r="A30" s="356"/>
      <c r="B30" s="313" t="s">
        <v>2219</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85"/>
      <c r="Q30" s="633" t="str">
        <f t="shared" si="11"/>
        <v>项目建筑规模</v>
      </c>
      <c r="R30" s="634" t="s">
        <v>25</v>
      </c>
      <c r="S30" s="635" t="e">
        <f t="shared" si="12"/>
        <v>#N/A</v>
      </c>
      <c r="T30" s="634" t="s">
        <v>25</v>
      </c>
      <c r="U30" s="635" t="e">
        <f t="shared" si="13"/>
        <v>#N/A</v>
      </c>
      <c r="V30" s="634" t="s">
        <v>25</v>
      </c>
      <c r="W30" s="635" t="e">
        <f t="shared" si="14"/>
        <v>#N/A</v>
      </c>
      <c r="X30" s="636"/>
      <c r="Y30" s="3685"/>
      <c r="Z30" s="637" t="str">
        <f t="shared" si="15"/>
        <v>项目建筑规模</v>
      </c>
      <c r="AA30" s="1307" t="e">
        <f t="shared" si="3"/>
        <v>#N/A</v>
      </c>
      <c r="AB30" s="1307" t="e">
        <f t="shared" si="4"/>
        <v>#N/A</v>
      </c>
      <c r="AC30" s="1307" t="e">
        <f t="shared" si="5"/>
        <v>#N/A</v>
      </c>
    </row>
    <row r="31" spans="1:29" ht="15">
      <c r="A31" s="360"/>
      <c r="B31" s="313" t="s">
        <v>2220</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85"/>
      <c r="Q31" s="1304" t="str">
        <f t="shared" si="11"/>
        <v>建筑结构</v>
      </c>
      <c r="R31" s="631" t="s">
        <v>25</v>
      </c>
      <c r="S31" s="632">
        <f t="shared" si="12"/>
        <v>100</v>
      </c>
      <c r="T31" s="631" t="s">
        <v>25</v>
      </c>
      <c r="U31" s="632">
        <f t="shared" si="13"/>
        <v>100</v>
      </c>
      <c r="V31" s="631" t="s">
        <v>25</v>
      </c>
      <c r="W31" s="632">
        <f t="shared" si="14"/>
        <v>100</v>
      </c>
      <c r="X31" s="1305"/>
      <c r="Y31" s="3685"/>
      <c r="Z31" s="1306" t="str">
        <f t="shared" si="15"/>
        <v>建筑结构</v>
      </c>
      <c r="AA31" s="1307">
        <f t="shared" si="3"/>
        <v>1</v>
      </c>
      <c r="AB31" s="1307">
        <f t="shared" si="4"/>
        <v>1</v>
      </c>
      <c r="AC31" s="1307">
        <f t="shared" si="5"/>
        <v>1</v>
      </c>
    </row>
    <row r="32" spans="1:29" ht="15">
      <c r="A32" s="360"/>
      <c r="B32" s="313" t="s">
        <v>2305</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85"/>
      <c r="Q32" s="1304" t="str">
        <f t="shared" si="11"/>
        <v>公共部分装修</v>
      </c>
      <c r="R32" s="631" t="s">
        <v>25</v>
      </c>
      <c r="S32" s="632">
        <f t="shared" si="12"/>
        <v>100</v>
      </c>
      <c r="T32" s="631" t="s">
        <v>25</v>
      </c>
      <c r="U32" s="632">
        <f t="shared" si="13"/>
        <v>100</v>
      </c>
      <c r="V32" s="631" t="s">
        <v>25</v>
      </c>
      <c r="W32" s="632">
        <f t="shared" si="14"/>
        <v>100</v>
      </c>
      <c r="X32" s="1305"/>
      <c r="Y32" s="3685"/>
      <c r="Z32" s="1306" t="str">
        <f t="shared" si="15"/>
        <v>公共部分装修</v>
      </c>
      <c r="AA32" s="1307">
        <f t="shared" si="3"/>
        <v>1</v>
      </c>
      <c r="AB32" s="1307">
        <f t="shared" si="4"/>
        <v>1</v>
      </c>
      <c r="AC32" s="1307">
        <f t="shared" si="5"/>
        <v>1</v>
      </c>
    </row>
    <row r="33" spans="1:29" ht="15">
      <c r="A33" s="360"/>
      <c r="B33" s="313" t="s">
        <v>2306</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85"/>
      <c r="Q33" s="1304" t="str">
        <f t="shared" si="11"/>
        <v>成新度</v>
      </c>
      <c r="R33" s="631" t="s">
        <v>25</v>
      </c>
      <c r="S33" s="632" t="e">
        <f t="shared" si="12"/>
        <v>#N/A</v>
      </c>
      <c r="T33" s="631" t="s">
        <v>25</v>
      </c>
      <c r="U33" s="632" t="e">
        <f t="shared" si="13"/>
        <v>#N/A</v>
      </c>
      <c r="V33" s="631" t="s">
        <v>25</v>
      </c>
      <c r="W33" s="632" t="e">
        <f t="shared" si="14"/>
        <v>#N/A</v>
      </c>
      <c r="X33" s="1305"/>
      <c r="Y33" s="3685"/>
      <c r="Z33" s="1306" t="str">
        <f t="shared" si="15"/>
        <v>成新度</v>
      </c>
      <c r="AA33" s="1307" t="e">
        <f t="shared" si="3"/>
        <v>#N/A</v>
      </c>
      <c r="AB33" s="1307" t="e">
        <f t="shared" si="4"/>
        <v>#N/A</v>
      </c>
      <c r="AC33" s="1307" t="e">
        <f t="shared" si="5"/>
        <v>#N/A</v>
      </c>
    </row>
    <row r="34" spans="1:29" s="25" customFormat="1" ht="15">
      <c r="A34" s="361"/>
      <c r="B34" s="313" t="s">
        <v>2334</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85"/>
      <c r="Q34" s="1297" t="str">
        <f t="shared" si="11"/>
        <v>物业管理</v>
      </c>
      <c r="R34" s="627" t="s">
        <v>25</v>
      </c>
      <c r="S34" s="628">
        <f t="shared" si="12"/>
        <v>100</v>
      </c>
      <c r="T34" s="627" t="s">
        <v>25</v>
      </c>
      <c r="U34" s="628">
        <f t="shared" si="13"/>
        <v>100</v>
      </c>
      <c r="V34" s="627" t="s">
        <v>25</v>
      </c>
      <c r="W34" s="628">
        <f t="shared" si="14"/>
        <v>100</v>
      </c>
      <c r="X34" s="629"/>
      <c r="Y34" s="3685"/>
      <c r="Z34" s="19" t="str">
        <f t="shared" si="15"/>
        <v>物业管理</v>
      </c>
      <c r="AA34" s="630">
        <f t="shared" si="3"/>
        <v>1</v>
      </c>
      <c r="AB34" s="630">
        <f t="shared" si="4"/>
        <v>1</v>
      </c>
      <c r="AC34" s="630">
        <f t="shared" si="5"/>
        <v>1</v>
      </c>
    </row>
    <row r="35" spans="1:29" ht="15">
      <c r="A35" s="360"/>
      <c r="B35" s="313" t="s">
        <v>2307</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85" t="s">
        <v>2218</v>
      </c>
      <c r="Q35" s="1304" t="str">
        <f t="shared" si="11"/>
        <v>市政基础设施</v>
      </c>
      <c r="R35" s="631" t="s">
        <v>25</v>
      </c>
      <c r="S35" s="632">
        <f t="shared" si="12"/>
        <v>100</v>
      </c>
      <c r="T35" s="631" t="s">
        <v>25</v>
      </c>
      <c r="U35" s="632">
        <f t="shared" si="13"/>
        <v>100</v>
      </c>
      <c r="V35" s="631" t="s">
        <v>25</v>
      </c>
      <c r="W35" s="632">
        <f t="shared" si="14"/>
        <v>100</v>
      </c>
      <c r="X35" s="1305"/>
      <c r="Y35" s="3685" t="s">
        <v>2218</v>
      </c>
      <c r="Z35" s="1306" t="str">
        <f t="shared" si="15"/>
        <v>市政基础设施</v>
      </c>
      <c r="AA35" s="1307">
        <f t="shared" si="3"/>
        <v>1</v>
      </c>
      <c r="AB35" s="1307">
        <f t="shared" si="4"/>
        <v>1</v>
      </c>
      <c r="AC35" s="1307">
        <f t="shared" si="5"/>
        <v>1</v>
      </c>
    </row>
    <row r="36" spans="1:29" ht="15">
      <c r="A36" s="360"/>
      <c r="B36" s="313" t="s">
        <v>2312</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85"/>
      <c r="Q36" s="1304" t="str">
        <f t="shared" si="11"/>
        <v>内部装修</v>
      </c>
      <c r="R36" s="631" t="s">
        <v>25</v>
      </c>
      <c r="S36" s="632">
        <f t="shared" si="12"/>
        <v>100</v>
      </c>
      <c r="T36" s="631" t="s">
        <v>25</v>
      </c>
      <c r="U36" s="632">
        <f t="shared" si="13"/>
        <v>100</v>
      </c>
      <c r="V36" s="631" t="s">
        <v>25</v>
      </c>
      <c r="W36" s="632">
        <f t="shared" si="14"/>
        <v>100</v>
      </c>
      <c r="X36" s="1305"/>
      <c r="Y36" s="3685"/>
      <c r="Z36" s="1306" t="str">
        <f t="shared" si="15"/>
        <v>内部装修</v>
      </c>
      <c r="AA36" s="1307">
        <f t="shared" si="3"/>
        <v>1</v>
      </c>
      <c r="AB36" s="1307">
        <f t="shared" si="4"/>
        <v>1</v>
      </c>
      <c r="AC36" s="1307">
        <f t="shared" si="5"/>
        <v>1</v>
      </c>
    </row>
    <row r="37" spans="1:29" ht="15">
      <c r="A37" s="360"/>
      <c r="B37" s="313" t="s">
        <v>2344</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85"/>
      <c r="Q37" s="1304" t="str">
        <f t="shared" si="11"/>
        <v>内部装修状况</v>
      </c>
      <c r="R37" s="631" t="s">
        <v>25</v>
      </c>
      <c r="S37" s="632">
        <f t="shared" si="12"/>
        <v>100</v>
      </c>
      <c r="T37" s="631" t="s">
        <v>25</v>
      </c>
      <c r="U37" s="632">
        <f t="shared" si="13"/>
        <v>100</v>
      </c>
      <c r="V37" s="631" t="s">
        <v>25</v>
      </c>
      <c r="W37" s="632">
        <f t="shared" si="14"/>
        <v>100</v>
      </c>
      <c r="X37" s="1305"/>
      <c r="Y37" s="3685"/>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85"/>
      <c r="Q38" s="633">
        <f t="shared" si="11"/>
        <v>111</v>
      </c>
      <c r="R38" s="634" t="s">
        <v>25</v>
      </c>
      <c r="S38" s="635">
        <f t="shared" si="12"/>
        <v>100</v>
      </c>
      <c r="T38" s="634" t="s">
        <v>25</v>
      </c>
      <c r="U38" s="635">
        <f t="shared" si="13"/>
        <v>100</v>
      </c>
      <c r="V38" s="634" t="s">
        <v>25</v>
      </c>
      <c r="W38" s="635">
        <f t="shared" si="14"/>
        <v>100</v>
      </c>
      <c r="X38" s="636"/>
      <c r="Y38" s="3685"/>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85"/>
      <c r="Q39" s="1304">
        <f t="shared" si="11"/>
        <v>111</v>
      </c>
      <c r="R39" s="631" t="s">
        <v>25</v>
      </c>
      <c r="S39" s="632">
        <f t="shared" si="12"/>
        <v>100</v>
      </c>
      <c r="T39" s="631" t="s">
        <v>25</v>
      </c>
      <c r="U39" s="632">
        <f t="shared" si="13"/>
        <v>100</v>
      </c>
      <c r="V39" s="631" t="s">
        <v>25</v>
      </c>
      <c r="W39" s="632">
        <f t="shared" si="14"/>
        <v>100</v>
      </c>
      <c r="X39" s="1305"/>
      <c r="Y39" s="3685"/>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86"/>
      <c r="Q40" s="1304">
        <f t="shared" si="11"/>
        <v>111</v>
      </c>
      <c r="R40" s="631" t="s">
        <v>25</v>
      </c>
      <c r="S40" s="632">
        <f t="shared" si="12"/>
        <v>100</v>
      </c>
      <c r="T40" s="631" t="s">
        <v>25</v>
      </c>
      <c r="U40" s="632">
        <f t="shared" si="13"/>
        <v>100</v>
      </c>
      <c r="V40" s="631" t="s">
        <v>25</v>
      </c>
      <c r="W40" s="632">
        <f t="shared" si="14"/>
        <v>100</v>
      </c>
      <c r="X40" s="1305"/>
      <c r="Y40" s="3686"/>
      <c r="Z40" s="1306">
        <f t="shared" si="15"/>
        <v>111</v>
      </c>
      <c r="AA40" s="1307">
        <f t="shared" si="3"/>
        <v>1</v>
      </c>
      <c r="AB40" s="1307">
        <f t="shared" si="4"/>
        <v>1</v>
      </c>
      <c r="AC40" s="1307">
        <f t="shared" si="5"/>
        <v>1</v>
      </c>
    </row>
    <row r="41" spans="1:29" ht="15">
      <c r="A41" s="367" t="s">
        <v>2230</v>
      </c>
      <c r="B41" s="368"/>
      <c r="C41" s="1124" t="s">
        <v>1</v>
      </c>
      <c r="D41" s="1125"/>
      <c r="E41" s="1126"/>
      <c r="F41" s="1127"/>
      <c r="G41" s="1128"/>
      <c r="H41" s="1129"/>
      <c r="I41" s="1126"/>
      <c r="J41" s="1129"/>
      <c r="K41" s="640"/>
      <c r="L41" s="3007"/>
      <c r="N41" s="2996"/>
      <c r="P41" s="3653" t="str">
        <f>A41</f>
        <v>成交单价（元/平方米）</v>
      </c>
      <c r="Q41" s="3653"/>
      <c r="R41" s="3687">
        <f>E41</f>
        <v>0</v>
      </c>
      <c r="S41" s="3687"/>
      <c r="T41" s="3687">
        <f>G41</f>
        <v>0</v>
      </c>
      <c r="U41" s="3687"/>
      <c r="V41" s="3687">
        <f>I41</f>
        <v>0</v>
      </c>
      <c r="W41" s="3687"/>
      <c r="X41" s="618"/>
      <c r="Y41" s="638"/>
      <c r="Z41" s="618"/>
      <c r="AA41" s="618"/>
      <c r="AB41" s="618"/>
      <c r="AC41" s="618"/>
    </row>
    <row r="42" spans="1:29" ht="15.75" thickBot="1">
      <c r="A42" s="374" t="s">
        <v>2313</v>
      </c>
      <c r="B42" s="375"/>
      <c r="C42" s="1130" t="e">
        <f>R43</f>
        <v>#DIV/0!</v>
      </c>
      <c r="D42" s="1767" t="s">
        <v>2687</v>
      </c>
      <c r="E42" s="1131" t="e">
        <f>R42</f>
        <v>#DIV/0!</v>
      </c>
      <c r="F42" s="1769"/>
      <c r="G42" s="1130" t="e">
        <f>T42</f>
        <v>#DIV/0!</v>
      </c>
      <c r="H42" s="1769"/>
      <c r="I42" s="1131" t="e">
        <f>V42</f>
        <v>#DIV/0!</v>
      </c>
      <c r="J42" s="1769"/>
      <c r="K42" s="2481">
        <f>F42+H42+J42</f>
        <v>0</v>
      </c>
      <c r="L42" s="3007"/>
      <c r="N42" s="2996"/>
      <c r="P42" s="3653" t="str">
        <f>A42</f>
        <v>比较价值（元/平方米）</v>
      </c>
      <c r="Q42" s="3653"/>
      <c r="R42" s="3687" t="e">
        <f>IF(E1="售价",ROUND(PRODUCT(R41,AA7:AA40),0),ROUND(PRODUCT(R41,AA7:AA40),1))</f>
        <v>#DIV/0!</v>
      </c>
      <c r="S42" s="3687"/>
      <c r="T42" s="3687" t="e">
        <f>IF(E1="售价",ROUND(PRODUCT(T41,AB7:AB40),0),ROUND(PRODUCT(T41,AB7:AB40),1))</f>
        <v>#DIV/0!</v>
      </c>
      <c r="U42" s="3687"/>
      <c r="V42" s="3687" t="e">
        <f>IF(E1="售价",ROUND(PRODUCT(V41,AC7:AC40),0),ROUND(PRODUCT(V41,AC7:AC40),1))</f>
        <v>#DIV/0!</v>
      </c>
      <c r="W42" s="3687"/>
      <c r="X42" s="618"/>
      <c r="Y42" s="618"/>
      <c r="Z42" s="618"/>
      <c r="AA42" s="618"/>
      <c r="AB42" s="618"/>
      <c r="AC42" s="618"/>
    </row>
    <row r="43" spans="1:29" ht="15.75" thickBot="1">
      <c r="A43" s="378" t="s">
        <v>2336</v>
      </c>
      <c r="B43" s="379"/>
      <c r="C43" s="1132" t="e">
        <f>R43</f>
        <v>#DIV/0!</v>
      </c>
      <c r="D43" s="1132"/>
      <c r="E43" s="1132"/>
      <c r="F43" s="1132"/>
      <c r="G43" s="1132"/>
      <c r="H43" s="1132"/>
      <c r="I43" s="1132"/>
      <c r="J43" s="1132"/>
      <c r="K43" s="641"/>
      <c r="L43" s="3007"/>
      <c r="P43" s="3688" t="str">
        <f>A43</f>
        <v>估价对象XX用房的比较价值（楼面单价，元/平方米）</v>
      </c>
      <c r="Q43" s="3689"/>
      <c r="R43" s="3690" t="e">
        <f>IF(E1="售价",ROUND(IF(D42="简单平均",AVERAGE(R42:V42),R42*F42+T42*H42+V42*J42),0),ROUND(IF(D42="简单平均",AVERAGE(R42:V42),R42*F42+T42*H42+V42*J42),1))</f>
        <v>#DIV/0!</v>
      </c>
      <c r="S43" s="3690"/>
      <c r="T43" s="3690"/>
      <c r="U43" s="3690"/>
      <c r="V43" s="3690"/>
      <c r="W43" s="3690"/>
      <c r="X43" s="618"/>
      <c r="Y43" s="618"/>
      <c r="Z43" s="618"/>
      <c r="AA43" s="618"/>
      <c r="AB43" s="618"/>
      <c r="AC43" s="618"/>
    </row>
    <row r="44" spans="1:29">
      <c r="G44" s="3010"/>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2318</v>
      </c>
      <c r="B51" s="618"/>
      <c r="C51" s="621"/>
      <c r="D51" s="621"/>
      <c r="E51" s="621"/>
      <c r="F51" s="622"/>
      <c r="G51" s="622"/>
      <c r="H51" s="621"/>
      <c r="I51" s="621"/>
      <c r="J51" s="621"/>
      <c r="K51" s="623"/>
      <c r="L51" s="624"/>
      <c r="M51" s="621"/>
      <c r="N51" s="3013"/>
      <c r="O51" s="3013"/>
      <c r="P51" s="389"/>
      <c r="Q51" s="390"/>
    </row>
    <row r="52" spans="1:17" s="394" customFormat="1" ht="15">
      <c r="A52" s="391" t="s">
        <v>2200</v>
      </c>
      <c r="B52" s="392"/>
      <c r="C52" s="1158" t="str">
        <f>YEAR(C7)&amp;"-"&amp;MONTH(C7)</f>
        <v>2021-12</v>
      </c>
      <c r="D52" s="1159">
        <f>EDATE(C52,-1)</f>
        <v>44501</v>
      </c>
      <c r="E52" s="1160">
        <f t="shared" ref="E52:O52" si="16">EDATE(D52,-1)</f>
        <v>44470</v>
      </c>
      <c r="F52" s="1160">
        <f t="shared" si="16"/>
        <v>44440</v>
      </c>
      <c r="G52" s="1160">
        <f t="shared" si="16"/>
        <v>44409</v>
      </c>
      <c r="H52" s="1160">
        <f t="shared" si="16"/>
        <v>44378</v>
      </c>
      <c r="I52" s="1160">
        <f t="shared" si="16"/>
        <v>44348</v>
      </c>
      <c r="J52" s="1160">
        <f t="shared" si="16"/>
        <v>44317</v>
      </c>
      <c r="K52" s="1160">
        <f t="shared" si="16"/>
        <v>44287</v>
      </c>
      <c r="L52" s="1160">
        <f t="shared" si="16"/>
        <v>44256</v>
      </c>
      <c r="M52" s="1160">
        <f t="shared" si="16"/>
        <v>44228</v>
      </c>
      <c r="N52" s="1160">
        <f t="shared" si="16"/>
        <v>44197</v>
      </c>
      <c r="O52" s="1160">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2238</v>
      </c>
      <c r="B54" s="401"/>
      <c r="C54" s="402"/>
      <c r="D54" s="403"/>
      <c r="E54" s="403"/>
      <c r="F54" s="403"/>
      <c r="G54" s="403"/>
      <c r="H54" s="403"/>
      <c r="I54" s="403"/>
      <c r="J54" s="403"/>
      <c r="K54" s="403"/>
      <c r="L54" s="403"/>
      <c r="M54" s="404"/>
      <c r="N54" s="403"/>
      <c r="O54" s="405"/>
      <c r="P54" s="390"/>
      <c r="Q54" s="390"/>
    </row>
    <row r="55" spans="1:17" s="25" customFormat="1" ht="15">
      <c r="A55" s="406" t="s">
        <v>2202</v>
      </c>
      <c r="B55" s="396"/>
      <c r="C55" s="407" t="s">
        <v>2203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2241</v>
      </c>
      <c r="B57" s="413" t="s">
        <v>2206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2209</v>
      </c>
      <c r="C59" s="426" t="s">
        <v>2242</v>
      </c>
      <c r="D59" s="426" t="s">
        <v>2243</v>
      </c>
      <c r="E59" s="426" t="s">
        <v>2244</v>
      </c>
      <c r="F59" s="426" t="s">
        <v>2245</v>
      </c>
      <c r="G59" s="426" t="s">
        <v>2246</v>
      </c>
      <c r="H59" s="426" t="s">
        <v>2247</v>
      </c>
      <c r="I59" s="426" t="s">
        <v>2248</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2211</v>
      </c>
      <c r="B70" s="413" t="s">
        <v>2345</v>
      </c>
      <c r="C70" s="461" t="s">
        <v>2250</v>
      </c>
      <c r="D70" s="461" t="s">
        <v>2251</v>
      </c>
      <c r="E70" s="461" t="s">
        <v>2252</v>
      </c>
      <c r="F70" s="461" t="s">
        <v>2253</v>
      </c>
      <c r="G70" s="461" t="s">
        <v>2254</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2255</v>
      </c>
      <c r="C72" s="466" t="s">
        <v>2250</v>
      </c>
      <c r="D72" s="466" t="s">
        <v>2251</v>
      </c>
      <c r="E72" s="466" t="s">
        <v>2252</v>
      </c>
      <c r="F72" s="466" t="s">
        <v>2253</v>
      </c>
      <c r="G72" s="466" t="s">
        <v>2254</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2256</v>
      </c>
      <c r="C74" s="466" t="s">
        <v>2250</v>
      </c>
      <c r="D74" s="466" t="s">
        <v>2251</v>
      </c>
      <c r="E74" s="466" t="s">
        <v>2252</v>
      </c>
      <c r="F74" s="466" t="s">
        <v>2253</v>
      </c>
      <c r="G74" s="466" t="s">
        <v>2254</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2328</v>
      </c>
      <c r="C76" s="426" t="s">
        <v>2257</v>
      </c>
      <c r="D76" s="426" t="s">
        <v>2258</v>
      </c>
      <c r="E76" s="426" t="s">
        <v>2259</v>
      </c>
      <c r="F76" s="426" t="s">
        <v>2260</v>
      </c>
      <c r="G76" s="426" t="s">
        <v>2261</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2338</v>
      </c>
      <c r="C78" s="466" t="s">
        <v>2250</v>
      </c>
      <c r="D78" s="466" t="s">
        <v>2251</v>
      </c>
      <c r="E78" s="466" t="s">
        <v>2252</v>
      </c>
      <c r="F78" s="466" t="s">
        <v>2253</v>
      </c>
      <c r="G78" s="466" t="s">
        <v>2254</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2216</v>
      </c>
      <c r="B88" s="413" t="s">
        <v>2265</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2266</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2269</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2270</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2271</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2272</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2274</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2346</v>
      </c>
      <c r="C106" s="466" t="s">
        <v>2250</v>
      </c>
      <c r="D106" s="466" t="s">
        <v>2251</v>
      </c>
      <c r="E106" s="466" t="s">
        <v>2252</v>
      </c>
      <c r="F106" s="466" t="s">
        <v>2253</v>
      </c>
      <c r="G106" s="466" t="s">
        <v>2254</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193"/>
      <c r="E1" s="1529"/>
      <c r="F1" s="1194" t="s">
        <v>2185</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2186</v>
      </c>
      <c r="D3" s="292">
        <f>IF(C1="仅计算典型户型",'数据-取费表'!E5,'数据-取费表'!B5)</f>
        <v>134.43</v>
      </c>
      <c r="E3" s="839" t="s">
        <v>2348</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61" t="s">
        <v>2188</v>
      </c>
      <c r="D4" s="3662"/>
      <c r="E4" s="3663" t="s">
        <v>2189</v>
      </c>
      <c r="F4" s="3664"/>
      <c r="G4" s="3661" t="s">
        <v>2190</v>
      </c>
      <c r="H4" s="3662"/>
      <c r="I4" s="3661" t="s">
        <v>2191</v>
      </c>
      <c r="J4" s="3662"/>
      <c r="K4" s="496" t="s">
        <v>2192</v>
      </c>
      <c r="L4" s="2995"/>
      <c r="M4" s="2996"/>
      <c r="N4" s="2996"/>
      <c r="O4" s="2996"/>
      <c r="P4" s="3665" t="s">
        <v>2193</v>
      </c>
      <c r="Q4" s="3666"/>
      <c r="R4" s="3671" t="s">
        <v>2189</v>
      </c>
      <c r="S4" s="3672"/>
      <c r="T4" s="3671" t="s">
        <v>2190</v>
      </c>
      <c r="U4" s="3672"/>
      <c r="V4" s="3677" t="s">
        <v>2191</v>
      </c>
      <c r="W4" s="3677"/>
      <c r="X4" s="1305"/>
      <c r="Y4" s="3671" t="s">
        <v>2193</v>
      </c>
      <c r="Z4" s="3672"/>
      <c r="AA4" s="3658" t="s">
        <v>2189</v>
      </c>
      <c r="AB4" s="3659" t="s">
        <v>2190</v>
      </c>
      <c r="AC4" s="3658" t="s">
        <v>2191</v>
      </c>
    </row>
    <row r="5" spans="1:29" ht="15">
      <c r="A5" s="297"/>
      <c r="B5" s="298"/>
      <c r="C5" s="3654" t="s">
        <v>2194</v>
      </c>
      <c r="D5" s="3655"/>
      <c r="E5" s="3678" t="s">
        <v>2195</v>
      </c>
      <c r="F5" s="3679"/>
      <c r="G5" s="3654" t="s">
        <v>2196</v>
      </c>
      <c r="H5" s="3655"/>
      <c r="I5" s="3654" t="s">
        <v>2197</v>
      </c>
      <c r="J5" s="3655"/>
      <c r="K5" s="496"/>
      <c r="L5" s="2995"/>
      <c r="M5" s="2996"/>
      <c r="N5" s="2996"/>
      <c r="O5" s="2996"/>
      <c r="P5" s="3667"/>
      <c r="Q5" s="3668"/>
      <c r="R5" s="3673"/>
      <c r="S5" s="3674"/>
      <c r="T5" s="3673"/>
      <c r="U5" s="3674"/>
      <c r="V5" s="3677"/>
      <c r="W5" s="3677"/>
      <c r="X5" s="1305"/>
      <c r="Y5" s="3673"/>
      <c r="Z5" s="3674"/>
      <c r="AA5" s="3659"/>
      <c r="AB5" s="3659"/>
      <c r="AC5" s="3659"/>
    </row>
    <row r="6" spans="1:29" ht="15.75" thickBot="1">
      <c r="A6" s="299"/>
      <c r="B6" s="300"/>
      <c r="C6" s="3651" t="s">
        <v>2198</v>
      </c>
      <c r="D6" s="3652"/>
      <c r="E6" s="3649" t="s">
        <v>2198</v>
      </c>
      <c r="F6" s="3650"/>
      <c r="G6" s="3651" t="s">
        <v>2198</v>
      </c>
      <c r="H6" s="3652"/>
      <c r="I6" s="3651" t="s">
        <v>2198</v>
      </c>
      <c r="J6" s="3652"/>
      <c r="K6" s="496" t="s">
        <v>2199</v>
      </c>
      <c r="L6" s="2995"/>
      <c r="M6" s="2996"/>
      <c r="N6" s="2996"/>
      <c r="O6" s="2996"/>
      <c r="P6" s="3669"/>
      <c r="Q6" s="3670"/>
      <c r="R6" s="3673"/>
      <c r="S6" s="3674"/>
      <c r="T6" s="3675"/>
      <c r="U6" s="3676"/>
      <c r="V6" s="3677"/>
      <c r="W6" s="3677"/>
      <c r="X6" s="1305"/>
      <c r="Y6" s="3675"/>
      <c r="Z6" s="3676"/>
      <c r="AA6" s="3660"/>
      <c r="AB6" s="3660"/>
      <c r="AC6" s="3660"/>
    </row>
    <row r="7" spans="1:29" s="25" customFormat="1" ht="15.75" thickBot="1">
      <c r="A7" s="301" t="s">
        <v>2200</v>
      </c>
      <c r="B7" s="302"/>
      <c r="C7" s="303">
        <f>'数据-取费表'!B2</f>
        <v>44553</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56" t="s">
        <v>2201</v>
      </c>
      <c r="Q7" s="3680"/>
      <c r="R7" s="627" t="s">
        <v>25</v>
      </c>
      <c r="S7" s="628">
        <f t="shared" ref="S7:S14" si="0">F7</f>
        <v>0</v>
      </c>
      <c r="T7" s="627" t="s">
        <v>25</v>
      </c>
      <c r="U7" s="628">
        <f t="shared" ref="U7:U14" si="1">H7</f>
        <v>0</v>
      </c>
      <c r="V7" s="627" t="s">
        <v>25</v>
      </c>
      <c r="W7" s="628">
        <f t="shared" ref="W7:W14" si="2">J7</f>
        <v>0</v>
      </c>
      <c r="X7" s="629"/>
      <c r="Y7" s="3656" t="s">
        <v>2201</v>
      </c>
      <c r="Z7" s="3657"/>
      <c r="AA7" s="630" t="e">
        <f>D7/F7</f>
        <v>#DIV/0!</v>
      </c>
      <c r="AB7" s="630" t="e">
        <f>D7/H7</f>
        <v>#DIV/0!</v>
      </c>
      <c r="AC7" s="630" t="e">
        <f>D7/J7</f>
        <v>#DIV/0!</v>
      </c>
    </row>
    <row r="8" spans="1:29" s="25" customFormat="1" ht="15.75" thickBot="1">
      <c r="A8" s="301" t="s">
        <v>2202</v>
      </c>
      <c r="B8" s="302"/>
      <c r="C8" s="307" t="s">
        <v>2203</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56" t="s">
        <v>2204</v>
      </c>
      <c r="Q8" s="3657"/>
      <c r="R8" s="627" t="s">
        <v>25</v>
      </c>
      <c r="S8" s="628">
        <f t="shared" si="0"/>
        <v>0</v>
      </c>
      <c r="T8" s="627" t="s">
        <v>25</v>
      </c>
      <c r="U8" s="628">
        <f t="shared" si="1"/>
        <v>0</v>
      </c>
      <c r="V8" s="627" t="s">
        <v>25</v>
      </c>
      <c r="W8" s="628">
        <f t="shared" si="2"/>
        <v>0</v>
      </c>
      <c r="X8" s="629"/>
      <c r="Y8" s="3656" t="s">
        <v>2204</v>
      </c>
      <c r="Z8" s="3657"/>
      <c r="AA8" s="630" t="e">
        <f t="shared" ref="AA8:AA36" si="3">D8/F8</f>
        <v>#DIV/0!</v>
      </c>
      <c r="AB8" s="630" t="e">
        <f t="shared" ref="AB8:AB36" si="4">D8/H8</f>
        <v>#DIV/0!</v>
      </c>
      <c r="AC8" s="630" t="e">
        <f t="shared" ref="AC8:AC36" si="5">D8/J8</f>
        <v>#DIV/0!</v>
      </c>
    </row>
    <row r="9" spans="1:29" s="25" customFormat="1">
      <c r="A9" s="21" t="s">
        <v>2205</v>
      </c>
      <c r="B9" s="522" t="s">
        <v>2206</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53" t="s">
        <v>2207</v>
      </c>
      <c r="Q9" s="1297" t="str">
        <f t="shared" ref="Q9:Q14" si="6">B9</f>
        <v>用途</v>
      </c>
      <c r="R9" s="627" t="s">
        <v>25</v>
      </c>
      <c r="S9" s="628">
        <f t="shared" si="0"/>
        <v>100</v>
      </c>
      <c r="T9" s="627" t="s">
        <v>25</v>
      </c>
      <c r="U9" s="628">
        <f t="shared" si="1"/>
        <v>100</v>
      </c>
      <c r="V9" s="627" t="s">
        <v>25</v>
      </c>
      <c r="W9" s="628">
        <f t="shared" si="2"/>
        <v>100</v>
      </c>
      <c r="X9" s="629"/>
      <c r="Y9" s="3683" t="s">
        <v>2208</v>
      </c>
      <c r="Z9" s="19" t="str">
        <f t="shared" ref="Z9:Z14" si="7">Q9</f>
        <v>用途</v>
      </c>
      <c r="AA9" s="630">
        <f t="shared" si="3"/>
        <v>1</v>
      </c>
      <c r="AB9" s="630">
        <f t="shared" si="4"/>
        <v>1</v>
      </c>
      <c r="AC9" s="630">
        <f t="shared" si="5"/>
        <v>1</v>
      </c>
    </row>
    <row r="10" spans="1:29" s="317" customFormat="1" ht="27">
      <c r="A10" s="523"/>
      <c r="B10" s="524" t="s">
        <v>2209</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53"/>
      <c r="Q10" s="1297" t="str">
        <f t="shared" si="6"/>
        <v>土地使用年限（年）</v>
      </c>
      <c r="R10" s="627" t="s">
        <v>25</v>
      </c>
      <c r="S10" s="628">
        <f t="shared" si="0"/>
        <v>100</v>
      </c>
      <c r="T10" s="627" t="s">
        <v>25</v>
      </c>
      <c r="U10" s="628">
        <f t="shared" si="1"/>
        <v>100</v>
      </c>
      <c r="V10" s="627" t="s">
        <v>25</v>
      </c>
      <c r="W10" s="628">
        <f t="shared" si="2"/>
        <v>100</v>
      </c>
      <c r="X10" s="629"/>
      <c r="Y10" s="368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53"/>
      <c r="Q11" s="1297">
        <f t="shared" si="6"/>
        <v>111</v>
      </c>
      <c r="R11" s="627" t="s">
        <v>25</v>
      </c>
      <c r="S11" s="628">
        <f t="shared" si="0"/>
        <v>100</v>
      </c>
      <c r="T11" s="627" t="s">
        <v>25</v>
      </c>
      <c r="U11" s="628">
        <f t="shared" si="1"/>
        <v>100</v>
      </c>
      <c r="V11" s="627" t="s">
        <v>25</v>
      </c>
      <c r="W11" s="628">
        <f t="shared" si="2"/>
        <v>100</v>
      </c>
      <c r="X11" s="629"/>
      <c r="Y11" s="368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53"/>
      <c r="Q12" s="1297">
        <f t="shared" si="6"/>
        <v>111</v>
      </c>
      <c r="R12" s="627" t="s">
        <v>25</v>
      </c>
      <c r="S12" s="628">
        <f t="shared" si="0"/>
        <v>100</v>
      </c>
      <c r="T12" s="627" t="s">
        <v>25</v>
      </c>
      <c r="U12" s="628">
        <f t="shared" si="1"/>
        <v>100</v>
      </c>
      <c r="V12" s="627" t="s">
        <v>25</v>
      </c>
      <c r="W12" s="628">
        <f t="shared" si="2"/>
        <v>100</v>
      </c>
      <c r="X12" s="629"/>
      <c r="Y12" s="368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53"/>
      <c r="Q13" s="1297">
        <f t="shared" si="6"/>
        <v>111</v>
      </c>
      <c r="R13" s="627" t="s">
        <v>25</v>
      </c>
      <c r="S13" s="628">
        <f t="shared" si="0"/>
        <v>100</v>
      </c>
      <c r="T13" s="627" t="s">
        <v>25</v>
      </c>
      <c r="U13" s="628">
        <f t="shared" si="1"/>
        <v>100</v>
      </c>
      <c r="V13" s="627" t="s">
        <v>25</v>
      </c>
      <c r="W13" s="628">
        <f t="shared" si="2"/>
        <v>100</v>
      </c>
      <c r="X13" s="629"/>
      <c r="Y13" s="3683"/>
      <c r="Z13" s="19">
        <f t="shared" si="7"/>
        <v>111</v>
      </c>
      <c r="AA13" s="630">
        <f t="shared" si="3"/>
        <v>1</v>
      </c>
      <c r="AB13" s="630">
        <f t="shared" si="4"/>
        <v>1</v>
      </c>
      <c r="AC13" s="630">
        <f t="shared" si="5"/>
        <v>1</v>
      </c>
    </row>
    <row r="14" spans="1:29" ht="85.5">
      <c r="A14" s="294" t="s">
        <v>2211</v>
      </c>
      <c r="B14" s="511" t="s">
        <v>2349</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81" t="s">
        <v>2212</v>
      </c>
      <c r="Q14" s="1304" t="str">
        <f t="shared" si="6"/>
        <v>交通便捷度</v>
      </c>
      <c r="R14" s="631" t="s">
        <v>25</v>
      </c>
      <c r="S14" s="632">
        <f t="shared" si="0"/>
        <v>100</v>
      </c>
      <c r="T14" s="631" t="s">
        <v>25</v>
      </c>
      <c r="U14" s="632">
        <f t="shared" si="1"/>
        <v>100</v>
      </c>
      <c r="V14" s="631" t="s">
        <v>25</v>
      </c>
      <c r="W14" s="632">
        <f t="shared" si="2"/>
        <v>100</v>
      </c>
      <c r="X14" s="1305"/>
      <c r="Y14" s="3681" t="s">
        <v>2212</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82"/>
      <c r="Q15" s="1304"/>
      <c r="R15" s="631"/>
      <c r="S15" s="632"/>
      <c r="T15" s="631"/>
      <c r="U15" s="632"/>
      <c r="V15" s="631"/>
      <c r="W15" s="632"/>
      <c r="X15" s="1305"/>
      <c r="Y15" s="3682"/>
      <c r="Z15" s="1306"/>
      <c r="AA15" s="1307">
        <v>1</v>
      </c>
      <c r="AB15" s="1307">
        <v>1</v>
      </c>
      <c r="AC15" s="1307">
        <v>1</v>
      </c>
    </row>
    <row r="16" spans="1:29" ht="42.75">
      <c r="A16" s="297"/>
      <c r="B16" s="513" t="s">
        <v>2327</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82"/>
      <c r="Q16" s="1304" t="str">
        <f>B16</f>
        <v>公共配套设施</v>
      </c>
      <c r="R16" s="631" t="s">
        <v>25</v>
      </c>
      <c r="S16" s="632">
        <f>F16</f>
        <v>100</v>
      </c>
      <c r="T16" s="631" t="s">
        <v>25</v>
      </c>
      <c r="U16" s="632">
        <f>H16</f>
        <v>100</v>
      </c>
      <c r="V16" s="631" t="s">
        <v>25</v>
      </c>
      <c r="W16" s="632">
        <f>J16</f>
        <v>100</v>
      </c>
      <c r="X16" s="1305"/>
      <c r="Y16" s="3682"/>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82"/>
      <c r="Q17" s="1304"/>
      <c r="R17" s="631"/>
      <c r="S17" s="632"/>
      <c r="T17" s="631"/>
      <c r="U17" s="632"/>
      <c r="V17" s="631"/>
      <c r="W17" s="632"/>
      <c r="X17" s="1305"/>
      <c r="Y17" s="3682"/>
      <c r="Z17" s="1306"/>
      <c r="AA17" s="1307">
        <v>1</v>
      </c>
      <c r="AB17" s="1307">
        <v>1</v>
      </c>
      <c r="AC17" s="1307">
        <v>1</v>
      </c>
    </row>
    <row r="18" spans="1:29" ht="28.5">
      <c r="A18" s="297"/>
      <c r="B18" s="515" t="s">
        <v>2328</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82"/>
      <c r="Q18" s="1304" t="str">
        <f>B18</f>
        <v>基础设施水平</v>
      </c>
      <c r="R18" s="631" t="s">
        <v>25</v>
      </c>
      <c r="S18" s="632">
        <f>F18</f>
        <v>100</v>
      </c>
      <c r="T18" s="631" t="s">
        <v>25</v>
      </c>
      <c r="U18" s="632">
        <f>H18</f>
        <v>100</v>
      </c>
      <c r="V18" s="631" t="s">
        <v>25</v>
      </c>
      <c r="W18" s="632">
        <f>J18</f>
        <v>100</v>
      </c>
      <c r="X18" s="1305"/>
      <c r="Y18" s="3682"/>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82"/>
      <c r="Q19" s="1304"/>
      <c r="R19" s="631"/>
      <c r="S19" s="632"/>
      <c r="T19" s="631"/>
      <c r="U19" s="632"/>
      <c r="V19" s="631"/>
      <c r="W19" s="632"/>
      <c r="X19" s="1305"/>
      <c r="Y19" s="3682"/>
      <c r="Z19" s="1306"/>
      <c r="AA19" s="1307">
        <v>1</v>
      </c>
      <c r="AB19" s="1307">
        <v>1</v>
      </c>
      <c r="AC19" s="1307">
        <v>1</v>
      </c>
    </row>
    <row r="20" spans="1:29" ht="57">
      <c r="A20" s="297"/>
      <c r="B20" s="513" t="s">
        <v>2350</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82"/>
      <c r="Q20" s="1304" t="str">
        <f>B20</f>
        <v>自然及人文环境</v>
      </c>
      <c r="R20" s="631" t="s">
        <v>25</v>
      </c>
      <c r="S20" s="632">
        <f>F20</f>
        <v>100</v>
      </c>
      <c r="T20" s="631" t="s">
        <v>25</v>
      </c>
      <c r="U20" s="632">
        <f>H20</f>
        <v>100</v>
      </c>
      <c r="V20" s="631" t="s">
        <v>25</v>
      </c>
      <c r="W20" s="632">
        <f>J20</f>
        <v>100</v>
      </c>
      <c r="X20" s="1305"/>
      <c r="Y20" s="3682"/>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82"/>
      <c r="Q21" s="1304"/>
      <c r="R21" s="631"/>
      <c r="S21" s="632"/>
      <c r="T21" s="631"/>
      <c r="U21" s="632"/>
      <c r="V21" s="631"/>
      <c r="W21" s="632"/>
      <c r="X21" s="1305"/>
      <c r="Y21" s="3682"/>
      <c r="Z21" s="1306"/>
      <c r="AA21" s="1307">
        <v>1</v>
      </c>
      <c r="AB21" s="1307">
        <v>1</v>
      </c>
      <c r="AC21" s="1307">
        <v>1</v>
      </c>
    </row>
    <row r="22" spans="1:29" ht="15">
      <c r="A22" s="297"/>
      <c r="B22" s="513" t="s">
        <v>2351</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82"/>
      <c r="Q22" s="1304" t="str">
        <f>B22</f>
        <v>楼层</v>
      </c>
      <c r="R22" s="631" t="s">
        <v>25</v>
      </c>
      <c r="S22" s="632">
        <f>F22</f>
        <v>100</v>
      </c>
      <c r="T22" s="631" t="s">
        <v>25</v>
      </c>
      <c r="U22" s="632">
        <f>H22</f>
        <v>100</v>
      </c>
      <c r="V22" s="631" t="s">
        <v>25</v>
      </c>
      <c r="W22" s="632">
        <f>J22</f>
        <v>100</v>
      </c>
      <c r="X22" s="1305"/>
      <c r="Y22" s="3682"/>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82"/>
      <c r="Q23" s="1304">
        <f>B23</f>
        <v>111</v>
      </c>
      <c r="R23" s="631" t="s">
        <v>25</v>
      </c>
      <c r="S23" s="632">
        <f>F23</f>
        <v>100</v>
      </c>
      <c r="T23" s="631" t="s">
        <v>25</v>
      </c>
      <c r="U23" s="632">
        <f>H23</f>
        <v>100</v>
      </c>
      <c r="V23" s="631" t="s">
        <v>25</v>
      </c>
      <c r="W23" s="632">
        <f>J23</f>
        <v>100</v>
      </c>
      <c r="X23" s="1305"/>
      <c r="Y23" s="3682"/>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82"/>
      <c r="Q24" s="1304">
        <f t="shared" ref="Q24:Q36" si="11">B24</f>
        <v>111</v>
      </c>
      <c r="R24" s="631" t="s">
        <v>25</v>
      </c>
      <c r="S24" s="632">
        <f>F24</f>
        <v>100</v>
      </c>
      <c r="T24" s="631" t="s">
        <v>25</v>
      </c>
      <c r="U24" s="632">
        <f>H24</f>
        <v>100</v>
      </c>
      <c r="V24" s="631" t="s">
        <v>25</v>
      </c>
      <c r="W24" s="632">
        <f>J24</f>
        <v>100</v>
      </c>
      <c r="X24" s="1305"/>
      <c r="Y24" s="3682"/>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82"/>
      <c r="Q25" s="1297">
        <f t="shared" si="11"/>
        <v>111</v>
      </c>
      <c r="R25" s="627" t="s">
        <v>25</v>
      </c>
      <c r="S25" s="628">
        <f>F25</f>
        <v>100</v>
      </c>
      <c r="T25" s="627" t="s">
        <v>25</v>
      </c>
      <c r="U25" s="628">
        <f>H25</f>
        <v>100</v>
      </c>
      <c r="V25" s="627" t="s">
        <v>25</v>
      </c>
      <c r="W25" s="628">
        <f>J25</f>
        <v>100</v>
      </c>
      <c r="X25" s="629"/>
      <c r="Y25" s="3682"/>
      <c r="Z25" s="19">
        <f>Q25</f>
        <v>111</v>
      </c>
      <c r="AA25" s="1307">
        <f>D25/F25</f>
        <v>1</v>
      </c>
      <c r="AB25" s="1307">
        <f>D25/H25</f>
        <v>1</v>
      </c>
      <c r="AC25" s="1307">
        <f>D25/J25</f>
        <v>1</v>
      </c>
    </row>
    <row r="26" spans="1:29" ht="28.5">
      <c r="A26" s="533" t="s">
        <v>2216</v>
      </c>
      <c r="B26" s="23" t="s">
        <v>2352</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84" t="s">
        <v>2218</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85" t="s">
        <v>2218</v>
      </c>
      <c r="Z26" s="1306" t="str">
        <f t="shared" ref="Z26:Z36" si="15">Q26</f>
        <v>配套类型</v>
      </c>
      <c r="AA26" s="1307">
        <f t="shared" si="3"/>
        <v>1</v>
      </c>
      <c r="AB26" s="1307">
        <f t="shared" si="4"/>
        <v>1</v>
      </c>
      <c r="AC26" s="1307">
        <f t="shared" si="5"/>
        <v>1</v>
      </c>
    </row>
    <row r="27" spans="1:29" s="359" customFormat="1" ht="15">
      <c r="A27" s="534"/>
      <c r="B27" s="535" t="s">
        <v>2353</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85"/>
      <c r="Q27" s="633" t="str">
        <f t="shared" si="11"/>
        <v>项目停车位配比</v>
      </c>
      <c r="R27" s="634" t="s">
        <v>25</v>
      </c>
      <c r="S27" s="635">
        <f t="shared" si="12"/>
        <v>100</v>
      </c>
      <c r="T27" s="634" t="s">
        <v>25</v>
      </c>
      <c r="U27" s="635">
        <f t="shared" si="13"/>
        <v>100</v>
      </c>
      <c r="V27" s="634" t="s">
        <v>25</v>
      </c>
      <c r="W27" s="635">
        <f t="shared" si="14"/>
        <v>100</v>
      </c>
      <c r="X27" s="636"/>
      <c r="Y27" s="3685"/>
      <c r="Z27" s="637" t="str">
        <f t="shared" si="15"/>
        <v>项目停车位配比</v>
      </c>
      <c r="AA27" s="1307">
        <f t="shared" si="3"/>
        <v>1</v>
      </c>
      <c r="AB27" s="1307">
        <f t="shared" si="4"/>
        <v>1</v>
      </c>
      <c r="AC27" s="1307">
        <f t="shared" si="5"/>
        <v>1</v>
      </c>
    </row>
    <row r="28" spans="1:29" ht="15">
      <c r="A28" s="537"/>
      <c r="B28" s="535" t="s">
        <v>2354</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85"/>
      <c r="Q28" s="1304" t="str">
        <f t="shared" si="11"/>
        <v>公共部分装修</v>
      </c>
      <c r="R28" s="631" t="s">
        <v>25</v>
      </c>
      <c r="S28" s="632">
        <f t="shared" si="12"/>
        <v>100</v>
      </c>
      <c r="T28" s="631" t="s">
        <v>25</v>
      </c>
      <c r="U28" s="632">
        <f t="shared" si="13"/>
        <v>100</v>
      </c>
      <c r="V28" s="631" t="s">
        <v>25</v>
      </c>
      <c r="W28" s="632">
        <f t="shared" si="14"/>
        <v>100</v>
      </c>
      <c r="X28" s="1305"/>
      <c r="Y28" s="3685"/>
      <c r="Z28" s="1306" t="str">
        <f t="shared" si="15"/>
        <v>公共部分装修</v>
      </c>
      <c r="AA28" s="1307">
        <f t="shared" si="3"/>
        <v>1</v>
      </c>
      <c r="AB28" s="1307">
        <f t="shared" si="4"/>
        <v>1</v>
      </c>
      <c r="AC28" s="1307">
        <f t="shared" si="5"/>
        <v>1</v>
      </c>
    </row>
    <row r="29" spans="1:29" ht="15">
      <c r="A29" s="537"/>
      <c r="B29" s="535" t="s">
        <v>2355</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85"/>
      <c r="Q29" s="1304" t="str">
        <f t="shared" si="11"/>
        <v>成新率</v>
      </c>
      <c r="R29" s="631" t="s">
        <v>25</v>
      </c>
      <c r="S29" s="632" t="e">
        <f t="shared" si="12"/>
        <v>#N/A</v>
      </c>
      <c r="T29" s="631" t="s">
        <v>25</v>
      </c>
      <c r="U29" s="632" t="e">
        <f t="shared" si="13"/>
        <v>#N/A</v>
      </c>
      <c r="V29" s="631" t="s">
        <v>25</v>
      </c>
      <c r="W29" s="632" t="e">
        <f t="shared" si="14"/>
        <v>#N/A</v>
      </c>
      <c r="X29" s="1305"/>
      <c r="Y29" s="3685"/>
      <c r="Z29" s="1306" t="str">
        <f t="shared" si="15"/>
        <v>成新率</v>
      </c>
      <c r="AA29" s="1307" t="e">
        <f t="shared" si="3"/>
        <v>#N/A</v>
      </c>
      <c r="AB29" s="1307" t="e">
        <f t="shared" si="4"/>
        <v>#N/A</v>
      </c>
      <c r="AC29" s="1307" t="e">
        <f t="shared" si="5"/>
        <v>#N/A</v>
      </c>
    </row>
    <row r="30" spans="1:29" ht="15">
      <c r="A30" s="537"/>
      <c r="B30" s="535" t="s">
        <v>2356</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85"/>
      <c r="Q30" s="1304" t="str">
        <f t="shared" si="11"/>
        <v>物业等级</v>
      </c>
      <c r="R30" s="631" t="s">
        <v>25</v>
      </c>
      <c r="S30" s="632">
        <f t="shared" si="12"/>
        <v>100</v>
      </c>
      <c r="T30" s="631" t="s">
        <v>25</v>
      </c>
      <c r="U30" s="632">
        <f t="shared" si="13"/>
        <v>100</v>
      </c>
      <c r="V30" s="631" t="s">
        <v>25</v>
      </c>
      <c r="W30" s="632">
        <f t="shared" si="14"/>
        <v>100</v>
      </c>
      <c r="X30" s="1305"/>
      <c r="Y30" s="3685"/>
      <c r="Z30" s="1306" t="str">
        <f t="shared" si="15"/>
        <v>物业等级</v>
      </c>
      <c r="AA30" s="1307">
        <f t="shared" si="3"/>
        <v>1</v>
      </c>
      <c r="AB30" s="1307">
        <f t="shared" si="4"/>
        <v>1</v>
      </c>
      <c r="AC30" s="1307">
        <f t="shared" si="5"/>
        <v>1</v>
      </c>
    </row>
    <row r="31" spans="1:29" s="25" customFormat="1" ht="15">
      <c r="A31" s="539"/>
      <c r="B31" s="535" t="s">
        <v>2357</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85"/>
      <c r="Q31" s="1297" t="str">
        <f t="shared" si="11"/>
        <v>停车位面积</v>
      </c>
      <c r="R31" s="627" t="s">
        <v>25</v>
      </c>
      <c r="S31" s="628" t="e">
        <f t="shared" si="12"/>
        <v>#N/A</v>
      </c>
      <c r="T31" s="627" t="s">
        <v>25</v>
      </c>
      <c r="U31" s="628" t="e">
        <f t="shared" si="13"/>
        <v>#N/A</v>
      </c>
      <c r="V31" s="627" t="s">
        <v>25</v>
      </c>
      <c r="W31" s="628" t="e">
        <f t="shared" si="14"/>
        <v>#N/A</v>
      </c>
      <c r="X31" s="629"/>
      <c r="Y31" s="3685"/>
      <c r="Z31" s="19" t="str">
        <f t="shared" si="15"/>
        <v>停车位面积</v>
      </c>
      <c r="AA31" s="630" t="e">
        <f t="shared" si="3"/>
        <v>#N/A</v>
      </c>
      <c r="AB31" s="630" t="e">
        <f t="shared" si="4"/>
        <v>#N/A</v>
      </c>
      <c r="AC31" s="630" t="e">
        <f t="shared" si="5"/>
        <v>#N/A</v>
      </c>
    </row>
    <row r="32" spans="1:29" ht="15">
      <c r="A32" s="537"/>
      <c r="B32" s="535" t="s">
        <v>2358</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85" t="s">
        <v>2218</v>
      </c>
      <c r="Q32" s="1304" t="str">
        <f t="shared" si="11"/>
        <v>车位类型</v>
      </c>
      <c r="R32" s="631" t="s">
        <v>25</v>
      </c>
      <c r="S32" s="632">
        <f t="shared" si="12"/>
        <v>100</v>
      </c>
      <c r="T32" s="631" t="s">
        <v>25</v>
      </c>
      <c r="U32" s="632">
        <f t="shared" si="13"/>
        <v>100</v>
      </c>
      <c r="V32" s="631" t="s">
        <v>25</v>
      </c>
      <c r="W32" s="632">
        <f t="shared" si="14"/>
        <v>100</v>
      </c>
      <c r="X32" s="1305"/>
      <c r="Y32" s="3685" t="s">
        <v>2218</v>
      </c>
      <c r="Z32" s="1306" t="str">
        <f t="shared" si="15"/>
        <v>车位类型</v>
      </c>
      <c r="AA32" s="1307">
        <f t="shared" si="3"/>
        <v>1</v>
      </c>
      <c r="AB32" s="1307">
        <f t="shared" si="4"/>
        <v>1</v>
      </c>
      <c r="AC32" s="1307">
        <f t="shared" si="5"/>
        <v>1</v>
      </c>
    </row>
    <row r="33" spans="1:29" ht="15">
      <c r="A33" s="537"/>
      <c r="B33" s="535" t="s">
        <v>2359</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85"/>
      <c r="Q33" s="1304" t="str">
        <f t="shared" si="11"/>
        <v>是否直接入户</v>
      </c>
      <c r="R33" s="631" t="s">
        <v>25</v>
      </c>
      <c r="S33" s="632">
        <f t="shared" si="12"/>
        <v>100</v>
      </c>
      <c r="T33" s="631" t="s">
        <v>25</v>
      </c>
      <c r="U33" s="632">
        <f t="shared" si="13"/>
        <v>100</v>
      </c>
      <c r="V33" s="631" t="s">
        <v>25</v>
      </c>
      <c r="W33" s="632">
        <f t="shared" si="14"/>
        <v>100</v>
      </c>
      <c r="X33" s="1305"/>
      <c r="Y33" s="3685"/>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85"/>
      <c r="Q34" s="1304">
        <f t="shared" si="11"/>
        <v>111</v>
      </c>
      <c r="R34" s="631" t="s">
        <v>25</v>
      </c>
      <c r="S34" s="632">
        <f t="shared" si="12"/>
        <v>100</v>
      </c>
      <c r="T34" s="631" t="s">
        <v>25</v>
      </c>
      <c r="U34" s="632">
        <f t="shared" si="13"/>
        <v>100</v>
      </c>
      <c r="V34" s="631" t="s">
        <v>25</v>
      </c>
      <c r="W34" s="632">
        <f t="shared" si="14"/>
        <v>100</v>
      </c>
      <c r="X34" s="1305"/>
      <c r="Y34" s="3685"/>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85"/>
      <c r="Q35" s="633">
        <f t="shared" si="11"/>
        <v>111</v>
      </c>
      <c r="R35" s="634" t="s">
        <v>25</v>
      </c>
      <c r="S35" s="635">
        <f t="shared" si="12"/>
        <v>100</v>
      </c>
      <c r="T35" s="634" t="s">
        <v>25</v>
      </c>
      <c r="U35" s="635">
        <f t="shared" si="13"/>
        <v>100</v>
      </c>
      <c r="V35" s="634" t="s">
        <v>25</v>
      </c>
      <c r="W35" s="635">
        <f t="shared" si="14"/>
        <v>100</v>
      </c>
      <c r="X35" s="636"/>
      <c r="Y35" s="3685"/>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85"/>
      <c r="Q36" s="1304">
        <f t="shared" si="11"/>
        <v>111</v>
      </c>
      <c r="R36" s="631" t="s">
        <v>25</v>
      </c>
      <c r="S36" s="632">
        <f t="shared" si="12"/>
        <v>100</v>
      </c>
      <c r="T36" s="631" t="s">
        <v>25</v>
      </c>
      <c r="U36" s="632">
        <f t="shared" si="13"/>
        <v>100</v>
      </c>
      <c r="V36" s="631" t="s">
        <v>25</v>
      </c>
      <c r="W36" s="632">
        <f t="shared" si="14"/>
        <v>100</v>
      </c>
      <c r="X36" s="1305"/>
      <c r="Y36" s="3685"/>
      <c r="Z36" s="1306">
        <f t="shared" si="15"/>
        <v>111</v>
      </c>
      <c r="AA36" s="1307">
        <f t="shared" si="3"/>
        <v>1</v>
      </c>
      <c r="AB36" s="1307">
        <f t="shared" si="4"/>
        <v>1</v>
      </c>
      <c r="AC36" s="1307">
        <f t="shared" si="5"/>
        <v>1</v>
      </c>
    </row>
    <row r="37" spans="1:29" ht="15">
      <c r="A37" s="367" t="s">
        <v>2360</v>
      </c>
      <c r="B37" s="840" t="s">
        <v>2361</v>
      </c>
      <c r="C37" s="1124" t="s">
        <v>1</v>
      </c>
      <c r="D37" s="1125"/>
      <c r="E37" s="1126"/>
      <c r="F37" s="1127"/>
      <c r="G37" s="1128"/>
      <c r="H37" s="1129"/>
      <c r="I37" s="1126"/>
      <c r="J37" s="1129"/>
      <c r="K37" s="503"/>
      <c r="L37" s="3007"/>
      <c r="N37" s="2996"/>
      <c r="P37" s="3653" t="str">
        <f>A37</f>
        <v>成交单价</v>
      </c>
      <c r="Q37" s="3653"/>
      <c r="R37" s="3687">
        <f>E37</f>
        <v>0</v>
      </c>
      <c r="S37" s="3687"/>
      <c r="T37" s="3687">
        <f>G37</f>
        <v>0</v>
      </c>
      <c r="U37" s="3687"/>
      <c r="V37" s="3687">
        <f>I37</f>
        <v>0</v>
      </c>
      <c r="W37" s="3687"/>
      <c r="X37" s="618"/>
      <c r="Y37" s="638"/>
      <c r="Z37" s="618"/>
      <c r="AA37" s="618"/>
      <c r="AB37" s="618"/>
      <c r="AC37" s="618"/>
    </row>
    <row r="38" spans="1:29" ht="15.75" thickBot="1">
      <c r="A38" s="374" t="s">
        <v>2362</v>
      </c>
      <c r="B38" s="375" t="str">
        <f>B37</f>
        <v>元/平方米</v>
      </c>
      <c r="C38" s="1130" t="e">
        <f>R39</f>
        <v>#DIV/0!</v>
      </c>
      <c r="D38" s="1767" t="s">
        <v>2687</v>
      </c>
      <c r="E38" s="1131" t="e">
        <f>R38</f>
        <v>#DIV/0!</v>
      </c>
      <c r="F38" s="1769"/>
      <c r="G38" s="1130" t="e">
        <f>T38</f>
        <v>#DIV/0!</v>
      </c>
      <c r="H38" s="1769"/>
      <c r="I38" s="1131" t="e">
        <f>V38</f>
        <v>#DIV/0!</v>
      </c>
      <c r="J38" s="1769"/>
      <c r="K38" s="2481">
        <f>F38+H38+J38</f>
        <v>0</v>
      </c>
      <c r="L38" s="3007"/>
      <c r="P38" s="3653" t="str">
        <f>A38</f>
        <v>比较价值</v>
      </c>
      <c r="Q38" s="3653"/>
      <c r="R38" s="3687" t="e">
        <f>IF(E1="售价",ROUND(PRODUCT(R37,AA7:AA36),0),ROUND(PRODUCT(R37,AA7:AA36),1))</f>
        <v>#DIV/0!</v>
      </c>
      <c r="S38" s="3687"/>
      <c r="T38" s="3687" t="e">
        <f>IF(E1="售价",ROUND(PRODUCT(T37,AB7:AB36),0),ROUND(PRODUCT(T37,AB7:AB36),1))</f>
        <v>#DIV/0!</v>
      </c>
      <c r="U38" s="3687"/>
      <c r="V38" s="3687" t="e">
        <f>IF(E1="售价",ROUND(PRODUCT(V37,AC7:AC36),0),ROUND(PRODUCT(V37,AC7:AC36),1))</f>
        <v>#DIV/0!</v>
      </c>
      <c r="W38" s="3687"/>
      <c r="X38" s="618"/>
      <c r="Y38" s="618"/>
      <c r="Z38" s="618"/>
      <c r="AA38" s="618"/>
      <c r="AB38" s="618"/>
      <c r="AC38" s="618"/>
    </row>
    <row r="39" spans="1:29" ht="15.75" thickBot="1">
      <c r="A39" s="378" t="s">
        <v>2363</v>
      </c>
      <c r="B39" s="379"/>
      <c r="C39" s="1132" t="e">
        <f>R39</f>
        <v>#DIV/0!</v>
      </c>
      <c r="D39" s="1132"/>
      <c r="E39" s="1132"/>
      <c r="F39" s="1132"/>
      <c r="G39" s="1132"/>
      <c r="H39" s="1132"/>
      <c r="I39" s="1132"/>
      <c r="J39" s="1132"/>
      <c r="K39" s="504"/>
      <c r="L39" s="3007"/>
      <c r="P39" s="3688" t="str">
        <f>A39</f>
        <v>估价对象XX用房的比较价值（楼面单价，元/平方米）</v>
      </c>
      <c r="Q39" s="3689"/>
      <c r="R39" s="3690" t="e">
        <f>IF(E1="售价",ROUND(IF(D38="简单平均",AVERAGE(R38:W38),R38*F38+T38*H38+V38*J38),0),ROUND(IF(D38="简单平均",AVERAGE(R38:V38),R38*F38+T38*H38+V38*J38),1))</f>
        <v>#DIV/0!</v>
      </c>
      <c r="S39" s="3690"/>
      <c r="T39" s="3690"/>
      <c r="U39" s="3690"/>
      <c r="V39" s="3690"/>
      <c r="W39" s="3690"/>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2364</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2365</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2366</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2367</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2368</v>
      </c>
      <c r="B48" s="392"/>
      <c r="C48" s="1158" t="str">
        <f>YEAR(C7)&amp;"-"&amp;MONTH(C7)</f>
        <v>2021-12</v>
      </c>
      <c r="D48" s="1159">
        <f>EDATE(C48,-1)</f>
        <v>44501</v>
      </c>
      <c r="E48" s="1159">
        <f t="shared" ref="E48:O48" si="16">EDATE(D48,-1)</f>
        <v>44470</v>
      </c>
      <c r="F48" s="1159">
        <f t="shared" si="16"/>
        <v>44440</v>
      </c>
      <c r="G48" s="1159">
        <f t="shared" si="16"/>
        <v>44409</v>
      </c>
      <c r="H48" s="1159">
        <f t="shared" si="16"/>
        <v>44378</v>
      </c>
      <c r="I48" s="1159">
        <f t="shared" si="16"/>
        <v>44348</v>
      </c>
      <c r="J48" s="1159">
        <f t="shared" si="16"/>
        <v>44317</v>
      </c>
      <c r="K48" s="1159">
        <f t="shared" si="16"/>
        <v>44287</v>
      </c>
      <c r="L48" s="1159">
        <f t="shared" si="16"/>
        <v>44256</v>
      </c>
      <c r="M48" s="1159">
        <f t="shared" si="16"/>
        <v>44228</v>
      </c>
      <c r="N48" s="1159">
        <f t="shared" si="16"/>
        <v>44197</v>
      </c>
      <c r="O48" s="1159">
        <f t="shared" si="16"/>
        <v>44166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2238</v>
      </c>
      <c r="B50" s="401"/>
      <c r="C50" s="402"/>
      <c r="D50" s="403"/>
      <c r="E50" s="403"/>
      <c r="F50" s="403"/>
      <c r="G50" s="403"/>
      <c r="H50" s="403"/>
      <c r="I50" s="403"/>
      <c r="J50" s="403"/>
      <c r="K50" s="403"/>
      <c r="L50" s="403"/>
      <c r="M50" s="404"/>
      <c r="N50" s="403"/>
      <c r="O50" s="405"/>
      <c r="P50" s="390"/>
      <c r="Q50" s="390"/>
    </row>
    <row r="51" spans="1:17" s="25" customFormat="1" ht="15">
      <c r="A51" s="406" t="s">
        <v>2202</v>
      </c>
      <c r="B51" s="396"/>
      <c r="C51" s="407" t="s">
        <v>2203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2241</v>
      </c>
      <c r="B53" s="413" t="s">
        <v>2206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2209</v>
      </c>
      <c r="C55" s="426" t="s">
        <v>2242</v>
      </c>
      <c r="D55" s="426" t="s">
        <v>2243</v>
      </c>
      <c r="E55" s="426" t="s">
        <v>2244</v>
      </c>
      <c r="F55" s="426" t="s">
        <v>2245</v>
      </c>
      <c r="G55" s="426" t="s">
        <v>2246</v>
      </c>
      <c r="H55" s="426" t="s">
        <v>2247</v>
      </c>
      <c r="I55" s="426" t="s">
        <v>2248</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2211</v>
      </c>
      <c r="B63" s="413" t="s">
        <v>2255</v>
      </c>
      <c r="C63" s="461" t="s">
        <v>2250</v>
      </c>
      <c r="D63" s="461" t="s">
        <v>2251</v>
      </c>
      <c r="E63" s="461" t="s">
        <v>2252</v>
      </c>
      <c r="F63" s="461" t="s">
        <v>2253</v>
      </c>
      <c r="G63" s="461" t="s">
        <v>2254</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2256</v>
      </c>
      <c r="C65" s="466" t="s">
        <v>2250</v>
      </c>
      <c r="D65" s="466" t="s">
        <v>2251</v>
      </c>
      <c r="E65" s="466" t="s">
        <v>2252</v>
      </c>
      <c r="F65" s="466" t="s">
        <v>2253</v>
      </c>
      <c r="G65" s="466" t="s">
        <v>2254</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2328</v>
      </c>
      <c r="C67" s="426" t="s">
        <v>2257</v>
      </c>
      <c r="D67" s="426" t="s">
        <v>2258</v>
      </c>
      <c r="E67" s="426" t="s">
        <v>2259</v>
      </c>
      <c r="F67" s="426" t="s">
        <v>2260</v>
      </c>
      <c r="G67" s="426" t="s">
        <v>2261</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2262</v>
      </c>
      <c r="C69" s="466" t="s">
        <v>2250</v>
      </c>
      <c r="D69" s="466" t="s">
        <v>2251</v>
      </c>
      <c r="E69" s="466" t="s">
        <v>2252</v>
      </c>
      <c r="F69" s="466" t="s">
        <v>2253</v>
      </c>
      <c r="G69" s="466" t="s">
        <v>2254</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2369</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2216</v>
      </c>
      <c r="B79" s="413" t="s">
        <v>2370</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2371</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2269</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2372</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2373</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2374</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2376</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202"/>
      <c r="E1" s="1529" t="s">
        <v>2688</v>
      </c>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2186</v>
      </c>
      <c r="D3" s="292">
        <f>IF(C1="仅计算典型户型",'数据-取费表'!E5,'数据-取费表'!B5)</f>
        <v>134.43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61" t="s">
        <v>2188</v>
      </c>
      <c r="D4" s="3662"/>
      <c r="E4" s="3663" t="s">
        <v>2189</v>
      </c>
      <c r="F4" s="3664"/>
      <c r="G4" s="3661" t="s">
        <v>2190</v>
      </c>
      <c r="H4" s="3662"/>
      <c r="I4" s="3661" t="s">
        <v>2191</v>
      </c>
      <c r="J4" s="3662"/>
      <c r="K4" s="496" t="s">
        <v>2192</v>
      </c>
      <c r="L4" s="2995"/>
      <c r="M4" s="2996"/>
      <c r="N4" s="2996"/>
      <c r="O4" s="2996"/>
      <c r="P4" s="3665" t="s">
        <v>2193</v>
      </c>
      <c r="Q4" s="3666"/>
      <c r="R4" s="3671" t="s">
        <v>2189</v>
      </c>
      <c r="S4" s="3672"/>
      <c r="T4" s="3671" t="s">
        <v>2190</v>
      </c>
      <c r="U4" s="3672"/>
      <c r="V4" s="3677" t="s">
        <v>2191</v>
      </c>
      <c r="W4" s="3677"/>
      <c r="X4" s="1305"/>
      <c r="Y4" s="3671" t="s">
        <v>2193</v>
      </c>
      <c r="Z4" s="3672"/>
      <c r="AA4" s="3658" t="s">
        <v>2189</v>
      </c>
      <c r="AB4" s="3659" t="s">
        <v>2190</v>
      </c>
      <c r="AC4" s="3658" t="s">
        <v>2191</v>
      </c>
    </row>
    <row r="5" spans="1:29" ht="15">
      <c r="A5" s="297"/>
      <c r="B5" s="298"/>
      <c r="C5" s="3654" t="s">
        <v>2194</v>
      </c>
      <c r="D5" s="3655"/>
      <c r="E5" s="3678" t="s">
        <v>2195</v>
      </c>
      <c r="F5" s="3679"/>
      <c r="G5" s="3654" t="s">
        <v>2196</v>
      </c>
      <c r="H5" s="3655"/>
      <c r="I5" s="3654" t="s">
        <v>2197</v>
      </c>
      <c r="J5" s="3655"/>
      <c r="K5" s="496"/>
      <c r="L5" s="2995"/>
      <c r="M5" s="2996"/>
      <c r="N5" s="2996"/>
      <c r="O5" s="2996"/>
      <c r="P5" s="3667"/>
      <c r="Q5" s="3668"/>
      <c r="R5" s="3673"/>
      <c r="S5" s="3674"/>
      <c r="T5" s="3673"/>
      <c r="U5" s="3674"/>
      <c r="V5" s="3677"/>
      <c r="W5" s="3677"/>
      <c r="X5" s="1305"/>
      <c r="Y5" s="3673"/>
      <c r="Z5" s="3674"/>
      <c r="AA5" s="3659"/>
      <c r="AB5" s="3659"/>
      <c r="AC5" s="3659"/>
    </row>
    <row r="6" spans="1:29" ht="15.75" thickBot="1">
      <c r="A6" s="299"/>
      <c r="B6" s="300"/>
      <c r="C6" s="3651" t="s">
        <v>2198</v>
      </c>
      <c r="D6" s="3652"/>
      <c r="E6" s="3649" t="s">
        <v>2198</v>
      </c>
      <c r="F6" s="3650"/>
      <c r="G6" s="3651" t="s">
        <v>2198</v>
      </c>
      <c r="H6" s="3652"/>
      <c r="I6" s="3651" t="s">
        <v>2198</v>
      </c>
      <c r="J6" s="3652"/>
      <c r="K6" s="496" t="s">
        <v>2199</v>
      </c>
      <c r="L6" s="2995"/>
      <c r="M6" s="2996"/>
      <c r="N6" s="2996"/>
      <c r="O6" s="2996"/>
      <c r="P6" s="3669"/>
      <c r="Q6" s="3670"/>
      <c r="R6" s="3673"/>
      <c r="S6" s="3674"/>
      <c r="T6" s="3675"/>
      <c r="U6" s="3676"/>
      <c r="V6" s="3677"/>
      <c r="W6" s="3677"/>
      <c r="X6" s="1305"/>
      <c r="Y6" s="3675"/>
      <c r="Z6" s="3676"/>
      <c r="AA6" s="3660"/>
      <c r="AB6" s="3660"/>
      <c r="AC6" s="3660"/>
    </row>
    <row r="7" spans="1:29" s="25" customFormat="1" ht="15.75" thickBot="1">
      <c r="A7" s="301" t="s">
        <v>2200</v>
      </c>
      <c r="B7" s="302"/>
      <c r="C7" s="303">
        <f>'数据-取费表'!B2</f>
        <v>44553</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56" t="s">
        <v>2201</v>
      </c>
      <c r="Q7" s="3680"/>
      <c r="R7" s="627" t="s">
        <v>25</v>
      </c>
      <c r="S7" s="628">
        <f t="shared" ref="S7:S14" si="0">F7</f>
        <v>0</v>
      </c>
      <c r="T7" s="627" t="s">
        <v>25</v>
      </c>
      <c r="U7" s="628">
        <f t="shared" ref="U7:U14" si="1">H7</f>
        <v>0</v>
      </c>
      <c r="V7" s="627" t="s">
        <v>25</v>
      </c>
      <c r="W7" s="628">
        <f t="shared" ref="W7:W14" si="2">J7</f>
        <v>0</v>
      </c>
      <c r="X7" s="629"/>
      <c r="Y7" s="3656" t="s">
        <v>2201</v>
      </c>
      <c r="Z7" s="3657"/>
      <c r="AA7" s="630" t="e">
        <f>D7/F7</f>
        <v>#DIV/0!</v>
      </c>
      <c r="AB7" s="630" t="e">
        <f>D7/H7</f>
        <v>#DIV/0!</v>
      </c>
      <c r="AC7" s="630" t="e">
        <f>D7/J7</f>
        <v>#DIV/0!</v>
      </c>
    </row>
    <row r="8" spans="1:29" s="25" customFormat="1" ht="15.75" thickBot="1">
      <c r="A8" s="301" t="s">
        <v>2202</v>
      </c>
      <c r="B8" s="302"/>
      <c r="C8" s="307" t="s">
        <v>2203</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56" t="s">
        <v>2204</v>
      </c>
      <c r="Q8" s="3657"/>
      <c r="R8" s="627" t="s">
        <v>25</v>
      </c>
      <c r="S8" s="628">
        <f t="shared" si="0"/>
        <v>0</v>
      </c>
      <c r="T8" s="627" t="s">
        <v>25</v>
      </c>
      <c r="U8" s="628">
        <f t="shared" si="1"/>
        <v>0</v>
      </c>
      <c r="V8" s="627" t="s">
        <v>25</v>
      </c>
      <c r="W8" s="628">
        <f t="shared" si="2"/>
        <v>0</v>
      </c>
      <c r="X8" s="629"/>
      <c r="Y8" s="3656" t="s">
        <v>2204</v>
      </c>
      <c r="Z8" s="3657"/>
      <c r="AA8" s="630" t="e">
        <f t="shared" ref="AA8:AA34" si="3">D8/F8</f>
        <v>#DIV/0!</v>
      </c>
      <c r="AB8" s="630" t="e">
        <f t="shared" ref="AB8:AB34" si="4">D8/H8</f>
        <v>#DIV/0!</v>
      </c>
      <c r="AC8" s="630" t="e">
        <f t="shared" ref="AC8:AC34" si="5">D8/J8</f>
        <v>#DIV/0!</v>
      </c>
    </row>
    <row r="9" spans="1:29" s="25" customFormat="1">
      <c r="A9" s="308" t="s">
        <v>2205</v>
      </c>
      <c r="B9" s="24" t="s">
        <v>2206</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53" t="s">
        <v>2207</v>
      </c>
      <c r="Q9" s="1297" t="str">
        <f t="shared" ref="Q9:Q14" si="6">B9</f>
        <v>用途</v>
      </c>
      <c r="R9" s="627" t="s">
        <v>25</v>
      </c>
      <c r="S9" s="628">
        <f t="shared" si="0"/>
        <v>100</v>
      </c>
      <c r="T9" s="627" t="s">
        <v>25</v>
      </c>
      <c r="U9" s="628">
        <f t="shared" si="1"/>
        <v>100</v>
      </c>
      <c r="V9" s="627" t="s">
        <v>25</v>
      </c>
      <c r="W9" s="628">
        <f t="shared" si="2"/>
        <v>100</v>
      </c>
      <c r="X9" s="629"/>
      <c r="Y9" s="3683" t="s">
        <v>2208</v>
      </c>
      <c r="Z9" s="19" t="str">
        <f t="shared" ref="Z9:Z14" si="7">Q9</f>
        <v>用途</v>
      </c>
      <c r="AA9" s="630">
        <f t="shared" si="3"/>
        <v>1</v>
      </c>
      <c r="AB9" s="630">
        <f t="shared" si="4"/>
        <v>1</v>
      </c>
      <c r="AC9" s="630">
        <f t="shared" si="5"/>
        <v>1</v>
      </c>
    </row>
    <row r="10" spans="1:29" s="317" customFormat="1" ht="27">
      <c r="A10" s="312"/>
      <c r="B10" s="313" t="s">
        <v>2209</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53"/>
      <c r="Q10" s="1297" t="str">
        <f t="shared" si="6"/>
        <v>土地使用年限（年）</v>
      </c>
      <c r="R10" s="627" t="s">
        <v>25</v>
      </c>
      <c r="S10" s="628">
        <f t="shared" si="0"/>
        <v>100</v>
      </c>
      <c r="T10" s="627" t="s">
        <v>25</v>
      </c>
      <c r="U10" s="628">
        <f t="shared" si="1"/>
        <v>100</v>
      </c>
      <c r="V10" s="627" t="s">
        <v>25</v>
      </c>
      <c r="W10" s="628">
        <f t="shared" si="2"/>
        <v>100</v>
      </c>
      <c r="X10" s="629"/>
      <c r="Y10" s="3683"/>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53"/>
      <c r="Q11" s="1297">
        <f t="shared" si="6"/>
        <v>111</v>
      </c>
      <c r="R11" s="627" t="s">
        <v>25</v>
      </c>
      <c r="S11" s="628">
        <f t="shared" si="0"/>
        <v>100</v>
      </c>
      <c r="T11" s="627" t="s">
        <v>25</v>
      </c>
      <c r="U11" s="628">
        <f t="shared" si="1"/>
        <v>100</v>
      </c>
      <c r="V11" s="627" t="s">
        <v>25</v>
      </c>
      <c r="W11" s="628">
        <f t="shared" si="2"/>
        <v>100</v>
      </c>
      <c r="X11" s="629"/>
      <c r="Y11" s="3683"/>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53"/>
      <c r="Q12" s="1297">
        <f t="shared" si="6"/>
        <v>111</v>
      </c>
      <c r="R12" s="627" t="s">
        <v>25</v>
      </c>
      <c r="S12" s="628">
        <f t="shared" si="0"/>
        <v>100</v>
      </c>
      <c r="T12" s="627" t="s">
        <v>25</v>
      </c>
      <c r="U12" s="628">
        <f t="shared" si="1"/>
        <v>100</v>
      </c>
      <c r="V12" s="627" t="s">
        <v>25</v>
      </c>
      <c r="W12" s="628">
        <f t="shared" si="2"/>
        <v>100</v>
      </c>
      <c r="X12" s="629"/>
      <c r="Y12" s="3683"/>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53"/>
      <c r="Q13" s="1297">
        <f t="shared" si="6"/>
        <v>111</v>
      </c>
      <c r="R13" s="627" t="s">
        <v>25</v>
      </c>
      <c r="S13" s="628">
        <f t="shared" si="0"/>
        <v>100</v>
      </c>
      <c r="T13" s="627" t="s">
        <v>25</v>
      </c>
      <c r="U13" s="628">
        <f t="shared" si="1"/>
        <v>100</v>
      </c>
      <c r="V13" s="627" t="s">
        <v>25</v>
      </c>
      <c r="W13" s="628">
        <f t="shared" si="2"/>
        <v>100</v>
      </c>
      <c r="X13" s="629"/>
      <c r="Y13" s="3683"/>
      <c r="Z13" s="19">
        <f t="shared" si="7"/>
        <v>111</v>
      </c>
      <c r="AA13" s="630">
        <f t="shared" si="3"/>
        <v>1</v>
      </c>
      <c r="AB13" s="630">
        <f t="shared" si="4"/>
        <v>1</v>
      </c>
      <c r="AC13" s="630">
        <f t="shared" si="5"/>
        <v>1</v>
      </c>
    </row>
    <row r="14" spans="1:29" ht="85.5">
      <c r="A14" s="329" t="s">
        <v>2211</v>
      </c>
      <c r="B14" s="22" t="s">
        <v>2349</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81" t="s">
        <v>2212</v>
      </c>
      <c r="Q14" s="1304" t="str">
        <f t="shared" si="6"/>
        <v>交通便捷度</v>
      </c>
      <c r="R14" s="631" t="s">
        <v>25</v>
      </c>
      <c r="S14" s="632">
        <f t="shared" si="0"/>
        <v>100</v>
      </c>
      <c r="T14" s="631" t="s">
        <v>25</v>
      </c>
      <c r="U14" s="632">
        <f t="shared" si="1"/>
        <v>100</v>
      </c>
      <c r="V14" s="631" t="s">
        <v>25</v>
      </c>
      <c r="W14" s="632">
        <f t="shared" si="2"/>
        <v>100</v>
      </c>
      <c r="X14" s="1305"/>
      <c r="Y14" s="3681" t="s">
        <v>2212</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82"/>
      <c r="Q15" s="1304"/>
      <c r="R15" s="631"/>
      <c r="S15" s="632"/>
      <c r="T15" s="631"/>
      <c r="U15" s="632"/>
      <c r="V15" s="631"/>
      <c r="W15" s="632"/>
      <c r="X15" s="1305"/>
      <c r="Y15" s="3682"/>
      <c r="Z15" s="1306"/>
      <c r="AA15" s="1307">
        <v>1</v>
      </c>
      <c r="AB15" s="1307">
        <v>1</v>
      </c>
      <c r="AC15" s="1307">
        <v>1</v>
      </c>
    </row>
    <row r="16" spans="1:29" ht="42.75">
      <c r="A16" s="318"/>
      <c r="B16" s="513" t="s">
        <v>2327</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82"/>
      <c r="Q16" s="1304" t="str">
        <f>B16</f>
        <v>公共配套设施</v>
      </c>
      <c r="R16" s="631" t="s">
        <v>25</v>
      </c>
      <c r="S16" s="632">
        <f>F16</f>
        <v>100</v>
      </c>
      <c r="T16" s="631" t="s">
        <v>25</v>
      </c>
      <c r="U16" s="632">
        <f>H16</f>
        <v>100</v>
      </c>
      <c r="V16" s="631" t="s">
        <v>25</v>
      </c>
      <c r="W16" s="632">
        <f>J16</f>
        <v>100</v>
      </c>
      <c r="X16" s="1305"/>
      <c r="Y16" s="3682"/>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82"/>
      <c r="Q17" s="1304"/>
      <c r="R17" s="631"/>
      <c r="S17" s="632"/>
      <c r="T17" s="631"/>
      <c r="U17" s="632"/>
      <c r="V17" s="631"/>
      <c r="W17" s="632"/>
      <c r="X17" s="1305"/>
      <c r="Y17" s="3682"/>
      <c r="Z17" s="1306"/>
      <c r="AA17" s="1307">
        <v>1</v>
      </c>
      <c r="AB17" s="1307">
        <v>1</v>
      </c>
      <c r="AC17" s="1307">
        <v>1</v>
      </c>
    </row>
    <row r="18" spans="1:29" ht="28.5">
      <c r="A18" s="318"/>
      <c r="B18" s="515" t="s">
        <v>2328</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82"/>
      <c r="Q18" s="1304" t="str">
        <f>B18</f>
        <v>基础设施水平</v>
      </c>
      <c r="R18" s="631" t="s">
        <v>25</v>
      </c>
      <c r="S18" s="632">
        <f>F18</f>
        <v>100</v>
      </c>
      <c r="T18" s="631" t="s">
        <v>25</v>
      </c>
      <c r="U18" s="632">
        <f>H18</f>
        <v>100</v>
      </c>
      <c r="V18" s="631" t="s">
        <v>25</v>
      </c>
      <c r="W18" s="632">
        <f>J18</f>
        <v>100</v>
      </c>
      <c r="X18" s="1305"/>
      <c r="Y18" s="3682"/>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82"/>
      <c r="Q19" s="1304"/>
      <c r="R19" s="631"/>
      <c r="S19" s="632"/>
      <c r="T19" s="631"/>
      <c r="U19" s="632"/>
      <c r="V19" s="631"/>
      <c r="W19" s="632"/>
      <c r="X19" s="1305"/>
      <c r="Y19" s="3682"/>
      <c r="Z19" s="1306"/>
      <c r="AA19" s="1307">
        <v>1</v>
      </c>
      <c r="AB19" s="1307">
        <v>1</v>
      </c>
      <c r="AC19" s="1307">
        <v>1</v>
      </c>
    </row>
    <row r="20" spans="1:29" ht="57">
      <c r="A20" s="318"/>
      <c r="B20" s="340" t="s">
        <v>2350</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82"/>
      <c r="Q20" s="1304" t="str">
        <f>B20</f>
        <v>自然及人文环境</v>
      </c>
      <c r="R20" s="631" t="s">
        <v>25</v>
      </c>
      <c r="S20" s="632">
        <f>F20</f>
        <v>100</v>
      </c>
      <c r="T20" s="631" t="s">
        <v>25</v>
      </c>
      <c r="U20" s="632">
        <f>H20</f>
        <v>100</v>
      </c>
      <c r="V20" s="631" t="s">
        <v>25</v>
      </c>
      <c r="W20" s="632">
        <f>J20</f>
        <v>100</v>
      </c>
      <c r="X20" s="1305"/>
      <c r="Y20" s="3682"/>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82"/>
      <c r="Q21" s="1304"/>
      <c r="R21" s="631"/>
      <c r="S21" s="632"/>
      <c r="T21" s="631"/>
      <c r="U21" s="632"/>
      <c r="V21" s="631"/>
      <c r="W21" s="632"/>
      <c r="X21" s="1305"/>
      <c r="Y21" s="3682"/>
      <c r="Z21" s="1306"/>
      <c r="AA21" s="1307">
        <v>1</v>
      </c>
      <c r="AB21" s="1307">
        <v>1</v>
      </c>
      <c r="AC21" s="1307">
        <v>1</v>
      </c>
    </row>
    <row r="22" spans="1:29" ht="15">
      <c r="A22" s="318"/>
      <c r="B22" s="340" t="s">
        <v>2351</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82"/>
      <c r="Q22" s="1304" t="str">
        <f>B22</f>
        <v>楼层</v>
      </c>
      <c r="R22" s="631" t="s">
        <v>25</v>
      </c>
      <c r="S22" s="632">
        <f>F22</f>
        <v>100</v>
      </c>
      <c r="T22" s="631" t="s">
        <v>25</v>
      </c>
      <c r="U22" s="632">
        <f>H22</f>
        <v>100</v>
      </c>
      <c r="V22" s="631" t="s">
        <v>25</v>
      </c>
      <c r="W22" s="632">
        <f>J22</f>
        <v>100</v>
      </c>
      <c r="X22" s="1305"/>
      <c r="Y22" s="3682"/>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82"/>
      <c r="Q23" s="1304">
        <f>B23</f>
        <v>111</v>
      </c>
      <c r="R23" s="631" t="s">
        <v>25</v>
      </c>
      <c r="S23" s="632">
        <f>F23</f>
        <v>100</v>
      </c>
      <c r="T23" s="631" t="s">
        <v>25</v>
      </c>
      <c r="U23" s="632">
        <f>H23</f>
        <v>100</v>
      </c>
      <c r="V23" s="631" t="s">
        <v>25</v>
      </c>
      <c r="W23" s="632">
        <f>J23</f>
        <v>100</v>
      </c>
      <c r="X23" s="1305"/>
      <c r="Y23" s="3682"/>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82"/>
      <c r="Q24" s="1304">
        <f t="shared" ref="Q24:Q34" si="11">B24</f>
        <v>111</v>
      </c>
      <c r="R24" s="631" t="s">
        <v>25</v>
      </c>
      <c r="S24" s="632">
        <f>F24</f>
        <v>100</v>
      </c>
      <c r="T24" s="631" t="s">
        <v>25</v>
      </c>
      <c r="U24" s="632">
        <f>H24</f>
        <v>100</v>
      </c>
      <c r="V24" s="631" t="s">
        <v>25</v>
      </c>
      <c r="W24" s="632">
        <f>J24</f>
        <v>100</v>
      </c>
      <c r="X24" s="1305"/>
      <c r="Y24" s="3682"/>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82"/>
      <c r="Q25" s="1297">
        <f t="shared" si="11"/>
        <v>111</v>
      </c>
      <c r="R25" s="627" t="s">
        <v>25</v>
      </c>
      <c r="S25" s="628">
        <f>F25</f>
        <v>100</v>
      </c>
      <c r="T25" s="627" t="s">
        <v>25</v>
      </c>
      <c r="U25" s="628">
        <f>H25</f>
        <v>100</v>
      </c>
      <c r="V25" s="627" t="s">
        <v>25</v>
      </c>
      <c r="W25" s="628">
        <f>J25</f>
        <v>100</v>
      </c>
      <c r="X25" s="629"/>
      <c r="Y25" s="3682"/>
      <c r="Z25" s="19">
        <f>Q25</f>
        <v>111</v>
      </c>
      <c r="AA25" s="1307">
        <f>D25/F25</f>
        <v>1</v>
      </c>
      <c r="AB25" s="1307">
        <f>D25/H25</f>
        <v>1</v>
      </c>
      <c r="AC25" s="1307">
        <f>D25/J25</f>
        <v>1</v>
      </c>
    </row>
    <row r="26" spans="1:29" ht="28.5">
      <c r="A26" s="354" t="s">
        <v>2216</v>
      </c>
      <c r="B26" s="24" t="s">
        <v>2354</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84" t="s">
        <v>2218</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85" t="s">
        <v>2218</v>
      </c>
      <c r="Z26" s="1306" t="str">
        <f t="shared" ref="Z26:Z34" si="15">Q26</f>
        <v>公共部分装修</v>
      </c>
      <c r="AA26" s="1307">
        <f t="shared" si="3"/>
        <v>1</v>
      </c>
      <c r="AB26" s="1307">
        <f t="shared" si="4"/>
        <v>1</v>
      </c>
      <c r="AC26" s="1307">
        <f t="shared" si="5"/>
        <v>1</v>
      </c>
    </row>
    <row r="27" spans="1:29" s="359" customFormat="1" ht="15">
      <c r="A27" s="356"/>
      <c r="B27" s="313" t="s">
        <v>2355</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85"/>
      <c r="Q27" s="633" t="str">
        <f t="shared" si="11"/>
        <v>成新率</v>
      </c>
      <c r="R27" s="634" t="s">
        <v>25</v>
      </c>
      <c r="S27" s="635" t="e">
        <f t="shared" si="12"/>
        <v>#N/A</v>
      </c>
      <c r="T27" s="634" t="s">
        <v>25</v>
      </c>
      <c r="U27" s="635" t="e">
        <f t="shared" si="13"/>
        <v>#N/A</v>
      </c>
      <c r="V27" s="634" t="s">
        <v>25</v>
      </c>
      <c r="W27" s="635" t="e">
        <f t="shared" si="14"/>
        <v>#N/A</v>
      </c>
      <c r="X27" s="636"/>
      <c r="Y27" s="3685"/>
      <c r="Z27" s="637" t="str">
        <f t="shared" si="15"/>
        <v>成新率</v>
      </c>
      <c r="AA27" s="1307" t="e">
        <f t="shared" si="3"/>
        <v>#N/A</v>
      </c>
      <c r="AB27" s="1307" t="e">
        <f t="shared" si="4"/>
        <v>#N/A</v>
      </c>
      <c r="AC27" s="1307" t="e">
        <f t="shared" si="5"/>
        <v>#N/A</v>
      </c>
    </row>
    <row r="28" spans="1:29" ht="15">
      <c r="A28" s="360"/>
      <c r="B28" s="313" t="s">
        <v>2356</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85"/>
      <c r="Q28" s="1304" t="str">
        <f t="shared" si="11"/>
        <v>物业等级</v>
      </c>
      <c r="R28" s="631" t="s">
        <v>25</v>
      </c>
      <c r="S28" s="632">
        <f t="shared" si="12"/>
        <v>100</v>
      </c>
      <c r="T28" s="631" t="s">
        <v>25</v>
      </c>
      <c r="U28" s="632">
        <f t="shared" si="13"/>
        <v>100</v>
      </c>
      <c r="V28" s="631" t="s">
        <v>25</v>
      </c>
      <c r="W28" s="632">
        <f t="shared" si="14"/>
        <v>100</v>
      </c>
      <c r="X28" s="1305"/>
      <c r="Y28" s="3685"/>
      <c r="Z28" s="1306" t="str">
        <f t="shared" si="15"/>
        <v>物业等级</v>
      </c>
      <c r="AA28" s="1307">
        <f t="shared" si="3"/>
        <v>1</v>
      </c>
      <c r="AB28" s="1307">
        <f t="shared" si="4"/>
        <v>1</v>
      </c>
      <c r="AC28" s="1307">
        <f t="shared" si="5"/>
        <v>1</v>
      </c>
    </row>
    <row r="29" spans="1:29" ht="15">
      <c r="A29" s="360"/>
      <c r="B29" s="313" t="s">
        <v>2377</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85"/>
      <c r="Q29" s="1304" t="str">
        <f t="shared" si="11"/>
        <v>有无电梯</v>
      </c>
      <c r="R29" s="631" t="s">
        <v>25</v>
      </c>
      <c r="S29" s="632">
        <f t="shared" si="12"/>
        <v>100</v>
      </c>
      <c r="T29" s="631" t="s">
        <v>25</v>
      </c>
      <c r="U29" s="632">
        <f t="shared" si="13"/>
        <v>100</v>
      </c>
      <c r="V29" s="631" t="s">
        <v>25</v>
      </c>
      <c r="W29" s="632">
        <f t="shared" si="14"/>
        <v>100</v>
      </c>
      <c r="X29" s="1305"/>
      <c r="Y29" s="3685"/>
      <c r="Z29" s="1306" t="str">
        <f t="shared" si="15"/>
        <v>有无电梯</v>
      </c>
      <c r="AA29" s="1307">
        <f t="shared" si="3"/>
        <v>1</v>
      </c>
      <c r="AB29" s="1307">
        <f t="shared" si="4"/>
        <v>1</v>
      </c>
      <c r="AC29" s="1307">
        <f t="shared" si="5"/>
        <v>1</v>
      </c>
    </row>
    <row r="30" spans="1:29" ht="15">
      <c r="A30" s="360"/>
      <c r="B30" s="313" t="s">
        <v>2378</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85"/>
      <c r="Q30" s="1304" t="str">
        <f t="shared" si="11"/>
        <v>建筑面积</v>
      </c>
      <c r="R30" s="631" t="s">
        <v>25</v>
      </c>
      <c r="S30" s="632" t="e">
        <f t="shared" si="12"/>
        <v>#N/A</v>
      </c>
      <c r="T30" s="631" t="s">
        <v>25</v>
      </c>
      <c r="U30" s="632" t="e">
        <f t="shared" si="13"/>
        <v>#N/A</v>
      </c>
      <c r="V30" s="631" t="s">
        <v>25</v>
      </c>
      <c r="W30" s="632" t="e">
        <f t="shared" si="14"/>
        <v>#N/A</v>
      </c>
      <c r="X30" s="1305"/>
      <c r="Y30" s="3685"/>
      <c r="Z30" s="1306" t="str">
        <f t="shared" si="15"/>
        <v>建筑面积</v>
      </c>
      <c r="AA30" s="1307" t="e">
        <f t="shared" si="3"/>
        <v>#N/A</v>
      </c>
      <c r="AB30" s="1307" t="e">
        <f t="shared" si="4"/>
        <v>#N/A</v>
      </c>
      <c r="AC30" s="1307" t="e">
        <f t="shared" si="5"/>
        <v>#N/A</v>
      </c>
    </row>
    <row r="31" spans="1:29" s="25" customFormat="1" ht="15">
      <c r="A31" s="361"/>
      <c r="B31" s="313" t="s">
        <v>2379</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85"/>
      <c r="Q31" s="1297" t="str">
        <f t="shared" si="11"/>
        <v>是否封闭</v>
      </c>
      <c r="R31" s="627" t="s">
        <v>25</v>
      </c>
      <c r="S31" s="628">
        <f t="shared" si="12"/>
        <v>100</v>
      </c>
      <c r="T31" s="627" t="s">
        <v>25</v>
      </c>
      <c r="U31" s="628">
        <f t="shared" si="13"/>
        <v>100</v>
      </c>
      <c r="V31" s="627" t="s">
        <v>25</v>
      </c>
      <c r="W31" s="628">
        <f t="shared" si="14"/>
        <v>100</v>
      </c>
      <c r="X31" s="629"/>
      <c r="Y31" s="3685"/>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85" t="s">
        <v>2218</v>
      </c>
      <c r="Q32" s="1304">
        <f t="shared" si="11"/>
        <v>111</v>
      </c>
      <c r="R32" s="631" t="s">
        <v>25</v>
      </c>
      <c r="S32" s="632">
        <f t="shared" si="12"/>
        <v>100</v>
      </c>
      <c r="T32" s="631" t="s">
        <v>25</v>
      </c>
      <c r="U32" s="632">
        <f t="shared" si="13"/>
        <v>100</v>
      </c>
      <c r="V32" s="631" t="s">
        <v>25</v>
      </c>
      <c r="W32" s="632">
        <f t="shared" si="14"/>
        <v>100</v>
      </c>
      <c r="X32" s="1305"/>
      <c r="Y32" s="3685" t="s">
        <v>2218</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85"/>
      <c r="Q33" s="1304">
        <f t="shared" si="11"/>
        <v>111</v>
      </c>
      <c r="R33" s="631" t="s">
        <v>25</v>
      </c>
      <c r="S33" s="632">
        <f t="shared" si="12"/>
        <v>100</v>
      </c>
      <c r="T33" s="631" t="s">
        <v>25</v>
      </c>
      <c r="U33" s="632">
        <f t="shared" si="13"/>
        <v>100</v>
      </c>
      <c r="V33" s="631" t="s">
        <v>25</v>
      </c>
      <c r="W33" s="632">
        <f t="shared" si="14"/>
        <v>100</v>
      </c>
      <c r="X33" s="1305"/>
      <c r="Y33" s="3685"/>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85"/>
      <c r="Q34" s="1304">
        <f t="shared" si="11"/>
        <v>111</v>
      </c>
      <c r="R34" s="631" t="s">
        <v>25</v>
      </c>
      <c r="S34" s="632">
        <f t="shared" si="12"/>
        <v>100</v>
      </c>
      <c r="T34" s="631" t="s">
        <v>25</v>
      </c>
      <c r="U34" s="632">
        <f t="shared" si="13"/>
        <v>100</v>
      </c>
      <c r="V34" s="631" t="s">
        <v>25</v>
      </c>
      <c r="W34" s="632">
        <f t="shared" si="14"/>
        <v>100</v>
      </c>
      <c r="X34" s="1305"/>
      <c r="Y34" s="3685"/>
      <c r="Z34" s="1306">
        <f t="shared" si="15"/>
        <v>111</v>
      </c>
      <c r="AA34" s="1307">
        <f t="shared" si="3"/>
        <v>1</v>
      </c>
      <c r="AB34" s="1307">
        <f t="shared" si="4"/>
        <v>1</v>
      </c>
      <c r="AC34" s="1307">
        <f t="shared" si="5"/>
        <v>1</v>
      </c>
    </row>
    <row r="35" spans="1:29" ht="15">
      <c r="A35" s="367" t="s">
        <v>2230</v>
      </c>
      <c r="B35" s="368"/>
      <c r="C35" s="1124" t="s">
        <v>1</v>
      </c>
      <c r="D35" s="1125"/>
      <c r="E35" s="1126"/>
      <c r="F35" s="1127"/>
      <c r="G35" s="1128"/>
      <c r="H35" s="1129"/>
      <c r="I35" s="1126"/>
      <c r="J35" s="1129"/>
      <c r="K35" s="640"/>
      <c r="L35" s="3007"/>
      <c r="N35" s="2996"/>
      <c r="P35" s="3653" t="str">
        <f>A35</f>
        <v>成交单价（元/平方米）</v>
      </c>
      <c r="Q35" s="3653"/>
      <c r="R35" s="3687">
        <f>E35</f>
        <v>0</v>
      </c>
      <c r="S35" s="3687"/>
      <c r="T35" s="3687">
        <f>G35</f>
        <v>0</v>
      </c>
      <c r="U35" s="3687"/>
      <c r="V35" s="3687">
        <f>I35</f>
        <v>0</v>
      </c>
      <c r="W35" s="3687"/>
      <c r="X35" s="618"/>
      <c r="Y35" s="638"/>
      <c r="Z35" s="618"/>
      <c r="AA35" s="618"/>
      <c r="AB35" s="618"/>
      <c r="AC35" s="618"/>
    </row>
    <row r="36" spans="1:29" ht="15.75" thickBot="1">
      <c r="A36" s="374" t="s">
        <v>2313</v>
      </c>
      <c r="B36" s="375"/>
      <c r="C36" s="1130" t="e">
        <f>R37</f>
        <v>#DIV/0!</v>
      </c>
      <c r="D36" s="1767" t="s">
        <v>2687</v>
      </c>
      <c r="E36" s="1131" t="e">
        <f>R36</f>
        <v>#DIV/0!</v>
      </c>
      <c r="F36" s="1769"/>
      <c r="G36" s="1130" t="e">
        <f>T36</f>
        <v>#DIV/0!</v>
      </c>
      <c r="H36" s="1769"/>
      <c r="I36" s="1131" t="e">
        <f>V36</f>
        <v>#DIV/0!</v>
      </c>
      <c r="J36" s="1769"/>
      <c r="K36" s="2481">
        <f>F36+H36+J36</f>
        <v>0</v>
      </c>
      <c r="L36" s="3007"/>
      <c r="N36" s="2996"/>
      <c r="P36" s="3653" t="str">
        <f>A36</f>
        <v>比较价值（元/平方米）</v>
      </c>
      <c r="Q36" s="3653"/>
      <c r="R36" s="3687" t="e">
        <f>IF(E1="售价",ROUND(PRODUCT(R35,AA7:AA34),0),ROUND(PRODUCT(R35,AA7:AA34),1))</f>
        <v>#DIV/0!</v>
      </c>
      <c r="S36" s="3687"/>
      <c r="T36" s="3687" t="e">
        <f>IF(E1="售价",ROUND(PRODUCT(T35,AB7:AB34),0),ROUND(PRODUCT(T35,AB7:AB34),1))</f>
        <v>#DIV/0!</v>
      </c>
      <c r="U36" s="3687"/>
      <c r="V36" s="3687" t="e">
        <f>IF(E1="售价",ROUND(PRODUCT(V35,AC7:AC34),0),ROUND(PRODUCT(V35,AC7:AC34),1))</f>
        <v>#DIV/0!</v>
      </c>
      <c r="W36" s="3687"/>
      <c r="X36" s="618"/>
      <c r="Y36" s="618"/>
      <c r="Z36" s="618"/>
      <c r="AA36" s="618"/>
      <c r="AB36" s="618"/>
      <c r="AC36" s="618"/>
    </row>
    <row r="37" spans="1:29" ht="15.75" thickBot="1">
      <c r="A37" s="378" t="s">
        <v>2336</v>
      </c>
      <c r="B37" s="379"/>
      <c r="C37" s="1132" t="e">
        <f>R37</f>
        <v>#DIV/0!</v>
      </c>
      <c r="D37" s="1132"/>
      <c r="E37" s="1132"/>
      <c r="F37" s="1132"/>
      <c r="G37" s="1132"/>
      <c r="H37" s="1132"/>
      <c r="I37" s="1132"/>
      <c r="J37" s="1132"/>
      <c r="K37" s="641"/>
      <c r="L37" s="3007"/>
      <c r="P37" s="3688" t="str">
        <f>A37</f>
        <v>估价对象XX用房的比较价值（楼面单价，元/平方米）</v>
      </c>
      <c r="Q37" s="3689"/>
      <c r="R37" s="3690" t="e">
        <f>IF(E1="售价",ROUND(IF(D36="简单平均",AVERAGE(R36:W36),R36*F36+T36*H36+V36*J36),0),ROUND(IF(D36="简单平均",AVERAGE(R36:V36),R36*F36+T36*H36+V36*J36),1))</f>
        <v>#DIV/0!</v>
      </c>
      <c r="S37" s="3690"/>
      <c r="T37" s="3690"/>
      <c r="U37" s="3690"/>
      <c r="V37" s="3690"/>
      <c r="W37" s="3690"/>
      <c r="X37" s="618"/>
      <c r="Y37" s="618"/>
      <c r="Z37" s="618"/>
      <c r="AA37" s="618"/>
      <c r="AB37" s="618"/>
      <c r="AC37" s="618"/>
    </row>
    <row r="38" spans="1:29">
      <c r="G38" s="3010"/>
    </row>
    <row r="40" spans="1:29" ht="13.5" customHeight="1">
      <c r="C40" s="383" t="s">
        <v>2315</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2316</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2317</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2318</v>
      </c>
      <c r="B45" s="618"/>
      <c r="C45" s="621"/>
      <c r="D45" s="621"/>
      <c r="E45" s="621"/>
      <c r="F45" s="622"/>
      <c r="G45" s="622"/>
      <c r="H45" s="621"/>
      <c r="I45" s="621"/>
      <c r="J45" s="621"/>
      <c r="K45" s="623"/>
      <c r="L45" s="624"/>
      <c r="M45" s="621"/>
      <c r="N45" s="3013"/>
      <c r="O45" s="3013"/>
      <c r="P45" s="389"/>
      <c r="Q45" s="390"/>
    </row>
    <row r="46" spans="1:29" s="394" customFormat="1" ht="15">
      <c r="A46" s="391" t="s">
        <v>2200</v>
      </c>
      <c r="B46" s="392"/>
      <c r="C46" s="1158" t="str">
        <f>YEAR(C7)&amp;"-"&amp;MONTH(C7)</f>
        <v>2021-12</v>
      </c>
      <c r="D46" s="1159">
        <f>EDATE(C46,-1)</f>
        <v>44501</v>
      </c>
      <c r="E46" s="1159">
        <f t="shared" ref="E46:O46" si="16">EDATE(D46,-1)</f>
        <v>44470</v>
      </c>
      <c r="F46" s="1159">
        <f t="shared" si="16"/>
        <v>44440</v>
      </c>
      <c r="G46" s="1159">
        <f t="shared" si="16"/>
        <v>44409</v>
      </c>
      <c r="H46" s="1159">
        <f t="shared" si="16"/>
        <v>44378</v>
      </c>
      <c r="I46" s="1159">
        <f t="shared" si="16"/>
        <v>44348</v>
      </c>
      <c r="J46" s="1159">
        <f t="shared" si="16"/>
        <v>44317</v>
      </c>
      <c r="K46" s="1159">
        <f t="shared" si="16"/>
        <v>44287</v>
      </c>
      <c r="L46" s="1159">
        <f t="shared" si="16"/>
        <v>44256</v>
      </c>
      <c r="M46" s="1159">
        <f t="shared" si="16"/>
        <v>44228</v>
      </c>
      <c r="N46" s="1159">
        <f t="shared" si="16"/>
        <v>44197</v>
      </c>
      <c r="O46" s="1159">
        <f t="shared" si="16"/>
        <v>44166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2238</v>
      </c>
      <c r="B48" s="401"/>
      <c r="C48" s="402"/>
      <c r="D48" s="403"/>
      <c r="E48" s="403"/>
      <c r="F48" s="403"/>
      <c r="G48" s="403"/>
      <c r="H48" s="403"/>
      <c r="I48" s="403"/>
      <c r="J48" s="403"/>
      <c r="K48" s="403"/>
      <c r="L48" s="403"/>
      <c r="M48" s="404"/>
      <c r="N48" s="403"/>
      <c r="O48" s="405"/>
      <c r="P48" s="390"/>
      <c r="Q48" s="390"/>
    </row>
    <row r="49" spans="1:17" s="25" customFormat="1" ht="15">
      <c r="A49" s="406" t="s">
        <v>2202</v>
      </c>
      <c r="B49" s="396"/>
      <c r="C49" s="407" t="s">
        <v>2203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2241</v>
      </c>
      <c r="B51" s="413" t="s">
        <v>2206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2209</v>
      </c>
      <c r="C53" s="426" t="s">
        <v>2242</v>
      </c>
      <c r="D53" s="426" t="s">
        <v>2243</v>
      </c>
      <c r="E53" s="426" t="s">
        <v>2244</v>
      </c>
      <c r="F53" s="426" t="s">
        <v>2245</v>
      </c>
      <c r="G53" s="426" t="s">
        <v>2246</v>
      </c>
      <c r="H53" s="426" t="s">
        <v>2247</v>
      </c>
      <c r="I53" s="426" t="s">
        <v>2248</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2211</v>
      </c>
      <c r="B61" s="413" t="s">
        <v>2255</v>
      </c>
      <c r="C61" s="461" t="s">
        <v>2250</v>
      </c>
      <c r="D61" s="461" t="s">
        <v>2251</v>
      </c>
      <c r="E61" s="461" t="s">
        <v>2252</v>
      </c>
      <c r="F61" s="461" t="s">
        <v>2253</v>
      </c>
      <c r="G61" s="461" t="s">
        <v>2254</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2256</v>
      </c>
      <c r="C63" s="466" t="s">
        <v>2250</v>
      </c>
      <c r="D63" s="466" t="s">
        <v>2251</v>
      </c>
      <c r="E63" s="466" t="s">
        <v>2252</v>
      </c>
      <c r="F63" s="466" t="s">
        <v>2253</v>
      </c>
      <c r="G63" s="466" t="s">
        <v>2254</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2328</v>
      </c>
      <c r="C65" s="426" t="s">
        <v>2257</v>
      </c>
      <c r="D65" s="426" t="s">
        <v>2258</v>
      </c>
      <c r="E65" s="426" t="s">
        <v>2259</v>
      </c>
      <c r="F65" s="426" t="s">
        <v>2260</v>
      </c>
      <c r="G65" s="426" t="s">
        <v>2261</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2262</v>
      </c>
      <c r="C67" s="466" t="s">
        <v>2250</v>
      </c>
      <c r="D67" s="466" t="s">
        <v>2251</v>
      </c>
      <c r="E67" s="466" t="s">
        <v>2252</v>
      </c>
      <c r="F67" s="466" t="s">
        <v>2253</v>
      </c>
      <c r="G67" s="466" t="s">
        <v>2254</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2369</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2216</v>
      </c>
      <c r="B77" s="413" t="s">
        <v>2269</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2372</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2373</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2380</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2381</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2382</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2383</v>
      </c>
      <c r="B1" s="1922"/>
      <c r="C1" s="1923" t="s">
        <v>2384</v>
      </c>
      <c r="D1" s="1922"/>
      <c r="E1" s="1922"/>
      <c r="F1" s="1924" t="s">
        <v>2185</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1857</v>
      </c>
      <c r="B2" s="1932" t="e">
        <f>F66</f>
        <v>#DIV/0!</v>
      </c>
      <c r="C2" s="1627" t="s">
        <v>2385</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1858</v>
      </c>
      <c r="B3" s="1933" t="e">
        <f>ROUND(B2/'数据-取费表'!B5,0)</f>
        <v>#DIV/0!</v>
      </c>
      <c r="C3" s="1627" t="s">
        <v>2386</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2187</v>
      </c>
      <c r="B4" s="1634"/>
      <c r="C4" s="3557" t="s">
        <v>2188</v>
      </c>
      <c r="D4" s="3558"/>
      <c r="E4" s="3559" t="s">
        <v>2189</v>
      </c>
      <c r="F4" s="3560"/>
      <c r="G4" s="3557" t="s">
        <v>2190</v>
      </c>
      <c r="H4" s="3558"/>
      <c r="I4" s="3557" t="s">
        <v>2191</v>
      </c>
      <c r="J4" s="3558"/>
      <c r="K4" s="1936" t="s">
        <v>2192</v>
      </c>
      <c r="L4" s="2967"/>
      <c r="M4" s="2968"/>
      <c r="N4" s="2968"/>
      <c r="O4" s="2968"/>
      <c r="P4" s="3561" t="s">
        <v>2193</v>
      </c>
      <c r="Q4" s="3562"/>
      <c r="R4" s="3567" t="s">
        <v>2189</v>
      </c>
      <c r="S4" s="3568"/>
      <c r="T4" s="3567" t="s">
        <v>2190</v>
      </c>
      <c r="U4" s="3568"/>
      <c r="V4" s="3573" t="s">
        <v>2191</v>
      </c>
      <c r="W4" s="3573"/>
      <c r="X4" s="1636"/>
      <c r="Y4" s="3567" t="s">
        <v>2193</v>
      </c>
      <c r="Z4" s="3568"/>
      <c r="AA4" s="3554" t="s">
        <v>2189</v>
      </c>
      <c r="AB4" s="3555" t="s">
        <v>2190</v>
      </c>
      <c r="AC4" s="3554" t="s">
        <v>2191</v>
      </c>
    </row>
    <row r="5" spans="1:30" ht="15">
      <c r="A5" s="1638"/>
      <c r="B5" s="1639"/>
      <c r="C5" s="3550" t="s">
        <v>2194</v>
      </c>
      <c r="D5" s="3551"/>
      <c r="E5" s="3574" t="s">
        <v>2195</v>
      </c>
      <c r="F5" s="3575"/>
      <c r="G5" s="3550" t="s">
        <v>2196</v>
      </c>
      <c r="H5" s="3551"/>
      <c r="I5" s="3550" t="s">
        <v>2197</v>
      </c>
      <c r="J5" s="3551"/>
      <c r="K5" s="1936"/>
      <c r="L5" s="2967"/>
      <c r="M5" s="2968"/>
      <c r="N5" s="2968"/>
      <c r="O5" s="2968"/>
      <c r="P5" s="3563"/>
      <c r="Q5" s="3564"/>
      <c r="R5" s="3569"/>
      <c r="S5" s="3570"/>
      <c r="T5" s="3569"/>
      <c r="U5" s="3570"/>
      <c r="V5" s="3573"/>
      <c r="W5" s="3573"/>
      <c r="X5" s="1636"/>
      <c r="Y5" s="3569"/>
      <c r="Z5" s="3570"/>
      <c r="AA5" s="3555"/>
      <c r="AB5" s="3555"/>
      <c r="AC5" s="3555"/>
    </row>
    <row r="6" spans="1:30" ht="15.75" thickBot="1">
      <c r="A6" s="1641"/>
      <c r="B6" s="1642"/>
      <c r="C6" s="3547" t="s">
        <v>2198</v>
      </c>
      <c r="D6" s="3548"/>
      <c r="E6" s="3545" t="s">
        <v>2198</v>
      </c>
      <c r="F6" s="3546"/>
      <c r="G6" s="3547" t="s">
        <v>2198</v>
      </c>
      <c r="H6" s="3548"/>
      <c r="I6" s="3547" t="s">
        <v>2198</v>
      </c>
      <c r="J6" s="3548"/>
      <c r="K6" s="1936" t="s">
        <v>2199</v>
      </c>
      <c r="L6" s="2967"/>
      <c r="M6" s="2968"/>
      <c r="N6" s="2968"/>
      <c r="O6" s="2968"/>
      <c r="P6" s="3565"/>
      <c r="Q6" s="3566"/>
      <c r="R6" s="3569"/>
      <c r="S6" s="3570"/>
      <c r="T6" s="3571"/>
      <c r="U6" s="3572"/>
      <c r="V6" s="3573"/>
      <c r="W6" s="3573"/>
      <c r="X6" s="1636"/>
      <c r="Y6" s="3571"/>
      <c r="Z6" s="3572"/>
      <c r="AA6" s="3556"/>
      <c r="AB6" s="3556"/>
      <c r="AC6" s="3556"/>
    </row>
    <row r="7" spans="1:30" s="1655" customFormat="1" ht="15.75" thickBot="1">
      <c r="A7" s="1643" t="s">
        <v>2200</v>
      </c>
      <c r="B7" s="1644"/>
      <c r="C7" s="1645">
        <f>'数据-取费表'!B2</f>
        <v>44553</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552" t="s">
        <v>2201</v>
      </c>
      <c r="Q7" s="3576"/>
      <c r="R7" s="1651" t="s">
        <v>25</v>
      </c>
      <c r="S7" s="1652">
        <f t="shared" ref="S7:S15" si="0">F7</f>
        <v>0</v>
      </c>
      <c r="T7" s="1651" t="s">
        <v>25</v>
      </c>
      <c r="U7" s="1652">
        <f t="shared" ref="U7:U15" si="1">H7</f>
        <v>0</v>
      </c>
      <c r="V7" s="1651" t="s">
        <v>25</v>
      </c>
      <c r="W7" s="1652">
        <f t="shared" ref="W7:W15" si="2">J7</f>
        <v>0</v>
      </c>
      <c r="X7" s="1653"/>
      <c r="Y7" s="3552" t="s">
        <v>2201</v>
      </c>
      <c r="Z7" s="3553"/>
      <c r="AA7" s="1654" t="e">
        <f>D7/F7</f>
        <v>#DIV/0!</v>
      </c>
      <c r="AB7" s="1654" t="e">
        <f>D7/H7</f>
        <v>#DIV/0!</v>
      </c>
      <c r="AC7" s="1654" t="e">
        <f>D7/J7</f>
        <v>#DIV/0!</v>
      </c>
    </row>
    <row r="8" spans="1:30" s="1655" customFormat="1" ht="15.75" thickBot="1">
      <c r="A8" s="1643" t="s">
        <v>2202</v>
      </c>
      <c r="B8" s="1644"/>
      <c r="C8" s="1656" t="s">
        <v>2387</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552" t="s">
        <v>2204</v>
      </c>
      <c r="Q8" s="3553"/>
      <c r="R8" s="1651" t="s">
        <v>25</v>
      </c>
      <c r="S8" s="1652">
        <f t="shared" si="0"/>
        <v>0</v>
      </c>
      <c r="T8" s="1651" t="s">
        <v>25</v>
      </c>
      <c r="U8" s="1652">
        <f t="shared" si="1"/>
        <v>0</v>
      </c>
      <c r="V8" s="1651" t="s">
        <v>25</v>
      </c>
      <c r="W8" s="1652">
        <f t="shared" si="2"/>
        <v>0</v>
      </c>
      <c r="X8" s="1653"/>
      <c r="Y8" s="3552" t="s">
        <v>2204</v>
      </c>
      <c r="Z8" s="3553"/>
      <c r="AA8" s="1654" t="e">
        <f t="shared" ref="AA8:AA45" si="3">D8/F8</f>
        <v>#DIV/0!</v>
      </c>
      <c r="AB8" s="1654" t="e">
        <f t="shared" ref="AB8:AB45" si="4">D8/H8</f>
        <v>#DIV/0!</v>
      </c>
      <c r="AC8" s="1654" t="e">
        <f t="shared" ref="AC8:AC45" si="5">D8/J8</f>
        <v>#DIV/0!</v>
      </c>
    </row>
    <row r="9" spans="1:30" s="1655" customFormat="1">
      <c r="A9" s="1606" t="s">
        <v>2205</v>
      </c>
      <c r="B9" s="1658" t="s">
        <v>2206</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549" t="s">
        <v>2207</v>
      </c>
      <c r="Q9" s="1605" t="str">
        <f t="shared" ref="Q9:Q15" si="6">B9</f>
        <v>用途</v>
      </c>
      <c r="R9" s="1651" t="s">
        <v>25</v>
      </c>
      <c r="S9" s="1652">
        <f t="shared" si="0"/>
        <v>100</v>
      </c>
      <c r="T9" s="1651" t="s">
        <v>25</v>
      </c>
      <c r="U9" s="1652">
        <f t="shared" si="1"/>
        <v>100</v>
      </c>
      <c r="V9" s="1651" t="s">
        <v>25</v>
      </c>
      <c r="W9" s="1652">
        <f t="shared" si="2"/>
        <v>100</v>
      </c>
      <c r="X9" s="1653"/>
      <c r="Y9" s="3478" t="s">
        <v>2208</v>
      </c>
      <c r="Z9" s="1664" t="str">
        <f t="shared" ref="Z9:Z15" si="7">Q9</f>
        <v>用途</v>
      </c>
      <c r="AA9" s="1654">
        <f t="shared" si="3"/>
        <v>1</v>
      </c>
      <c r="AB9" s="1654">
        <f t="shared" si="4"/>
        <v>1</v>
      </c>
      <c r="AC9" s="1654">
        <f t="shared" si="5"/>
        <v>1</v>
      </c>
    </row>
    <row r="10" spans="1:30" s="1672" customFormat="1" ht="27">
      <c r="A10" s="1665"/>
      <c r="B10" s="1666" t="s">
        <v>2209</v>
      </c>
      <c r="C10" s="1678"/>
      <c r="D10" s="1668">
        <v>100</v>
      </c>
      <c r="E10" s="1730"/>
      <c r="F10" s="1668">
        <f>ROUND(100/'数据-取费表'!B14,0)</f>
        <v>108</v>
      </c>
      <c r="G10" s="1728"/>
      <c r="H10" s="1668">
        <f>ROUND(100/'数据-取费表'!B14,0)</f>
        <v>108</v>
      </c>
      <c r="I10" s="1728"/>
      <c r="J10" s="1668">
        <f>ROUND(100/'数据-取费表'!B14,0)</f>
        <v>108</v>
      </c>
      <c r="K10" s="1940"/>
      <c r="L10" s="2969"/>
      <c r="M10" s="2970"/>
      <c r="N10" s="2970"/>
      <c r="O10" s="3015"/>
      <c r="P10" s="3549"/>
      <c r="Q10" s="1605" t="str">
        <f t="shared" si="6"/>
        <v>土地使用年限（年）</v>
      </c>
      <c r="R10" s="1651" t="s">
        <v>25</v>
      </c>
      <c r="S10" s="1652">
        <f t="shared" si="0"/>
        <v>108</v>
      </c>
      <c r="T10" s="1651" t="s">
        <v>25</v>
      </c>
      <c r="U10" s="1652">
        <f t="shared" si="1"/>
        <v>108</v>
      </c>
      <c r="V10" s="1651" t="s">
        <v>25</v>
      </c>
      <c r="W10" s="1652">
        <f t="shared" si="2"/>
        <v>108</v>
      </c>
      <c r="X10" s="1653"/>
      <c r="Y10" s="3478"/>
      <c r="Z10" s="1664" t="str">
        <f t="shared" si="7"/>
        <v>土地使用年限（年）</v>
      </c>
      <c r="AA10" s="1654">
        <f t="shared" si="3"/>
        <v>0.92592592592592593</v>
      </c>
      <c r="AB10" s="1654">
        <f t="shared" si="4"/>
        <v>0.92592592592592593</v>
      </c>
      <c r="AC10" s="1654">
        <f t="shared" si="5"/>
        <v>0.92592592592592593</v>
      </c>
    </row>
    <row r="11" spans="1:30" ht="15">
      <c r="A11" s="1673"/>
      <c r="B11" s="1666" t="s">
        <v>2210</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549"/>
      <c r="Q11" s="1605" t="str">
        <f t="shared" si="6"/>
        <v>容积率</v>
      </c>
      <c r="R11" s="1651" t="s">
        <v>25</v>
      </c>
      <c r="S11" s="1652" t="e">
        <f t="shared" si="0"/>
        <v>#N/A</v>
      </c>
      <c r="T11" s="1651" t="s">
        <v>25</v>
      </c>
      <c r="U11" s="1652" t="e">
        <f t="shared" si="1"/>
        <v>#N/A</v>
      </c>
      <c r="V11" s="1651" t="s">
        <v>25</v>
      </c>
      <c r="W11" s="1652" t="e">
        <f t="shared" si="2"/>
        <v>#N/A</v>
      </c>
      <c r="X11" s="1653"/>
      <c r="Y11" s="3478"/>
      <c r="Z11" s="1664" t="str">
        <f t="shared" si="7"/>
        <v>容积率</v>
      </c>
      <c r="AA11" s="1654" t="e">
        <f t="shared" si="3"/>
        <v>#N/A</v>
      </c>
      <c r="AB11" s="1654" t="e">
        <f t="shared" si="4"/>
        <v>#N/A</v>
      </c>
      <c r="AC11" s="1654" t="e">
        <f t="shared" si="5"/>
        <v>#N/A</v>
      </c>
    </row>
    <row r="12" spans="1:30" s="1655" customFormat="1" ht="15">
      <c r="A12" s="1676"/>
      <c r="B12" s="1677" t="s">
        <v>2388</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549"/>
      <c r="Q12" s="1605" t="str">
        <f t="shared" si="6"/>
        <v>配建</v>
      </c>
      <c r="R12" s="1651" t="s">
        <v>25</v>
      </c>
      <c r="S12" s="1652">
        <f t="shared" si="0"/>
        <v>100</v>
      </c>
      <c r="T12" s="1651" t="s">
        <v>25</v>
      </c>
      <c r="U12" s="1652">
        <f t="shared" si="1"/>
        <v>100</v>
      </c>
      <c r="V12" s="1651" t="s">
        <v>25</v>
      </c>
      <c r="W12" s="1652">
        <f t="shared" si="2"/>
        <v>100</v>
      </c>
      <c r="X12" s="1653"/>
      <c r="Y12" s="3478"/>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549"/>
      <c r="Q13" s="1605">
        <f t="shared" si="6"/>
        <v>111</v>
      </c>
      <c r="R13" s="1651" t="s">
        <v>25</v>
      </c>
      <c r="S13" s="1652">
        <f t="shared" si="0"/>
        <v>100</v>
      </c>
      <c r="T13" s="1651" t="s">
        <v>25</v>
      </c>
      <c r="U13" s="1652">
        <f t="shared" si="1"/>
        <v>100</v>
      </c>
      <c r="V13" s="1651" t="s">
        <v>25</v>
      </c>
      <c r="W13" s="1652">
        <f t="shared" si="2"/>
        <v>100</v>
      </c>
      <c r="X13" s="1653"/>
      <c r="Y13" s="3478"/>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549"/>
      <c r="Q14" s="1605">
        <f t="shared" si="6"/>
        <v>111</v>
      </c>
      <c r="R14" s="1651" t="s">
        <v>25</v>
      </c>
      <c r="S14" s="1652">
        <f t="shared" si="0"/>
        <v>100</v>
      </c>
      <c r="T14" s="1651" t="s">
        <v>25</v>
      </c>
      <c r="U14" s="1652">
        <f t="shared" si="1"/>
        <v>100</v>
      </c>
      <c r="V14" s="1651" t="s">
        <v>25</v>
      </c>
      <c r="W14" s="1652">
        <f t="shared" si="2"/>
        <v>100</v>
      </c>
      <c r="X14" s="1653"/>
      <c r="Y14" s="3478"/>
      <c r="Z14" s="1664">
        <f t="shared" si="7"/>
        <v>111</v>
      </c>
      <c r="AA14" s="1654">
        <f>D14/F14</f>
        <v>1</v>
      </c>
      <c r="AB14" s="1654">
        <f>D14/H14</f>
        <v>1</v>
      </c>
      <c r="AC14" s="1654">
        <f>D14/J14</f>
        <v>1</v>
      </c>
    </row>
    <row r="15" spans="1:30" ht="99.75">
      <c r="A15" s="1633" t="s">
        <v>2211</v>
      </c>
      <c r="B15" s="1943" t="s">
        <v>1647</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577" t="s">
        <v>2212</v>
      </c>
      <c r="Q15" s="1586" t="str">
        <f t="shared" si="6"/>
        <v>居住社区成熟度</v>
      </c>
      <c r="R15" s="1696" t="s">
        <v>25</v>
      </c>
      <c r="S15" s="1697">
        <f t="shared" si="0"/>
        <v>100</v>
      </c>
      <c r="T15" s="1696" t="s">
        <v>25</v>
      </c>
      <c r="U15" s="1697">
        <f t="shared" si="1"/>
        <v>100</v>
      </c>
      <c r="V15" s="1696" t="s">
        <v>25</v>
      </c>
      <c r="W15" s="1697">
        <f t="shared" si="2"/>
        <v>100</v>
      </c>
      <c r="X15" s="1636"/>
      <c r="Y15" s="3577" t="s">
        <v>2212</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578"/>
      <c r="Q16" s="1586"/>
      <c r="R16" s="1696"/>
      <c r="S16" s="1697"/>
      <c r="T16" s="1696"/>
      <c r="U16" s="1697"/>
      <c r="V16" s="1696"/>
      <c r="W16" s="1697"/>
      <c r="X16" s="1636"/>
      <c r="Y16" s="3578"/>
      <c r="Z16" s="1698"/>
      <c r="AA16" s="1699">
        <v>1</v>
      </c>
      <c r="AB16" s="1699">
        <v>1</v>
      </c>
      <c r="AC16" s="1699">
        <v>1</v>
      </c>
    </row>
    <row r="17" spans="1:29" ht="71.25">
      <c r="A17" s="1638"/>
      <c r="B17" s="1947" t="s">
        <v>2297</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578"/>
      <c r="Q17" s="1586" t="str">
        <f>B17</f>
        <v>商业繁华度</v>
      </c>
      <c r="R17" s="1696" t="s">
        <v>25</v>
      </c>
      <c r="S17" s="1697">
        <f>F17</f>
        <v>100</v>
      </c>
      <c r="T17" s="1696" t="s">
        <v>25</v>
      </c>
      <c r="U17" s="1697">
        <f>H17</f>
        <v>100</v>
      </c>
      <c r="V17" s="1696" t="s">
        <v>25</v>
      </c>
      <c r="W17" s="1697">
        <f>J17</f>
        <v>100</v>
      </c>
      <c r="X17" s="1636"/>
      <c r="Y17" s="3578"/>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578"/>
      <c r="Q18" s="1586"/>
      <c r="R18" s="1696"/>
      <c r="S18" s="1697"/>
      <c r="T18" s="1696"/>
      <c r="U18" s="1697"/>
      <c r="V18" s="1696"/>
      <c r="W18" s="1697"/>
      <c r="X18" s="1636"/>
      <c r="Y18" s="3578"/>
      <c r="Z18" s="1698"/>
      <c r="AA18" s="1699">
        <v>1</v>
      </c>
      <c r="AB18" s="1699">
        <v>1</v>
      </c>
      <c r="AC18" s="1699">
        <v>1</v>
      </c>
    </row>
    <row r="19" spans="1:29" ht="71.25">
      <c r="A19" s="1638"/>
      <c r="B19" s="1947" t="s">
        <v>2326</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578"/>
      <c r="Q19" s="1586" t="str">
        <f>B19</f>
        <v>办公集聚程度</v>
      </c>
      <c r="R19" s="1696" t="s">
        <v>25</v>
      </c>
      <c r="S19" s="1697">
        <f>F19</f>
        <v>100</v>
      </c>
      <c r="T19" s="1696" t="s">
        <v>25</v>
      </c>
      <c r="U19" s="1697">
        <f>H19</f>
        <v>100</v>
      </c>
      <c r="V19" s="1696" t="s">
        <v>25</v>
      </c>
      <c r="W19" s="1697">
        <f>J19</f>
        <v>100</v>
      </c>
      <c r="X19" s="1636"/>
      <c r="Y19" s="3578"/>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578"/>
      <c r="Q20" s="1586"/>
      <c r="R20" s="1696"/>
      <c r="S20" s="1697"/>
      <c r="T20" s="1696"/>
      <c r="U20" s="1697"/>
      <c r="V20" s="1696"/>
      <c r="W20" s="1697"/>
      <c r="X20" s="1636"/>
      <c r="Y20" s="3578"/>
      <c r="Z20" s="1698"/>
      <c r="AA20" s="1699">
        <v>1</v>
      </c>
      <c r="AB20" s="1699">
        <v>1</v>
      </c>
      <c r="AC20" s="1699">
        <v>1</v>
      </c>
    </row>
    <row r="21" spans="1:29" ht="85.5">
      <c r="A21" s="1638"/>
      <c r="B21" s="1947" t="s">
        <v>2349</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578"/>
      <c r="Q21" s="1586" t="str">
        <f>B21</f>
        <v>交通便捷度</v>
      </c>
      <c r="R21" s="1696" t="s">
        <v>25</v>
      </c>
      <c r="S21" s="1697">
        <f>F21</f>
        <v>100</v>
      </c>
      <c r="T21" s="1696" t="s">
        <v>25</v>
      </c>
      <c r="U21" s="1697">
        <f>H21</f>
        <v>100</v>
      </c>
      <c r="V21" s="1696" t="s">
        <v>25</v>
      </c>
      <c r="W21" s="1697">
        <f>J21</f>
        <v>100</v>
      </c>
      <c r="X21" s="1636"/>
      <c r="Y21" s="3578"/>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578"/>
      <c r="Q22" s="1586"/>
      <c r="R22" s="1696"/>
      <c r="S22" s="1697"/>
      <c r="T22" s="1696"/>
      <c r="U22" s="1697"/>
      <c r="V22" s="1696"/>
      <c r="W22" s="1697"/>
      <c r="X22" s="1636"/>
      <c r="Y22" s="3578"/>
      <c r="Z22" s="1698"/>
      <c r="AA22" s="1699">
        <v>1</v>
      </c>
      <c r="AB22" s="1699">
        <v>1</v>
      </c>
      <c r="AC22" s="1699">
        <v>1</v>
      </c>
    </row>
    <row r="23" spans="1:29" ht="15">
      <c r="A23" s="1638"/>
      <c r="B23" s="1428" t="s">
        <v>2389</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578"/>
      <c r="Q23" s="1586" t="str">
        <f t="shared" ref="Q23:Q37" si="8">B23</f>
        <v>区域土地利用方向</v>
      </c>
      <c r="R23" s="1696" t="s">
        <v>25</v>
      </c>
      <c r="S23" s="1697">
        <f>F23</f>
        <v>100</v>
      </c>
      <c r="T23" s="1696" t="s">
        <v>25</v>
      </c>
      <c r="U23" s="1697">
        <f>H23</f>
        <v>100</v>
      </c>
      <c r="V23" s="1696" t="s">
        <v>25</v>
      </c>
      <c r="W23" s="1697">
        <f>J23</f>
        <v>100</v>
      </c>
      <c r="X23" s="1636"/>
      <c r="Y23" s="3578"/>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578"/>
      <c r="Q24" s="1586"/>
      <c r="R24" s="1696"/>
      <c r="S24" s="1697"/>
      <c r="T24" s="1696"/>
      <c r="U24" s="1697"/>
      <c r="V24" s="1696"/>
      <c r="W24" s="1697"/>
      <c r="X24" s="1636"/>
      <c r="Y24" s="3578"/>
      <c r="Z24" s="1698"/>
      <c r="AA24" s="1699"/>
      <c r="AB24" s="1699"/>
      <c r="AC24" s="1699"/>
    </row>
    <row r="25" spans="1:29" ht="57">
      <c r="A25" s="1638"/>
      <c r="B25" s="1952" t="s">
        <v>2390</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578"/>
      <c r="Q25" s="1586" t="str">
        <f t="shared" si="8"/>
        <v>自然及人文环境状况</v>
      </c>
      <c r="R25" s="1696" t="s">
        <v>25</v>
      </c>
      <c r="S25" s="1697">
        <f>F25</f>
        <v>100</v>
      </c>
      <c r="T25" s="1696" t="s">
        <v>25</v>
      </c>
      <c r="U25" s="1697">
        <f>H25</f>
        <v>100</v>
      </c>
      <c r="V25" s="1696" t="s">
        <v>25</v>
      </c>
      <c r="W25" s="1697">
        <f>J25</f>
        <v>100</v>
      </c>
      <c r="X25" s="1636"/>
      <c r="Y25" s="3578"/>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578"/>
      <c r="Q26" s="1586"/>
      <c r="R26" s="1696"/>
      <c r="S26" s="1697"/>
      <c r="T26" s="1696"/>
      <c r="U26" s="1697"/>
      <c r="V26" s="1696"/>
      <c r="W26" s="1697"/>
      <c r="X26" s="1636"/>
      <c r="Y26" s="3578"/>
      <c r="Z26" s="1698"/>
      <c r="AA26" s="1699">
        <v>1</v>
      </c>
      <c r="AB26" s="1699">
        <v>1</v>
      </c>
      <c r="AC26" s="1699">
        <v>1</v>
      </c>
    </row>
    <row r="27" spans="1:29" ht="42.75">
      <c r="A27" s="1638"/>
      <c r="B27" s="1952" t="s">
        <v>2298</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578"/>
      <c r="Q27" s="1605" t="str">
        <f t="shared" ref="Q27" si="9">B27</f>
        <v>公共配套设施</v>
      </c>
      <c r="R27" s="1651" t="s">
        <v>25</v>
      </c>
      <c r="S27" s="1652">
        <f>F27</f>
        <v>100</v>
      </c>
      <c r="T27" s="1651" t="s">
        <v>25</v>
      </c>
      <c r="U27" s="1652">
        <f>H27</f>
        <v>100</v>
      </c>
      <c r="V27" s="1651" t="s">
        <v>25</v>
      </c>
      <c r="W27" s="1652">
        <f>J27</f>
        <v>100</v>
      </c>
      <c r="X27" s="1636"/>
      <c r="Y27" s="3578"/>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578"/>
      <c r="Q28" s="1586"/>
      <c r="R28" s="1696"/>
      <c r="S28" s="1697"/>
      <c r="T28" s="1696"/>
      <c r="U28" s="1697"/>
      <c r="V28" s="1696"/>
      <c r="W28" s="1697"/>
      <c r="X28" s="1636"/>
      <c r="Y28" s="3578"/>
      <c r="Z28" s="1664"/>
      <c r="AA28" s="1699">
        <v>1</v>
      </c>
      <c r="AB28" s="1699">
        <v>1</v>
      </c>
      <c r="AC28" s="1699">
        <v>1</v>
      </c>
    </row>
    <row r="29" spans="1:29" s="1655" customFormat="1" ht="28.5">
      <c r="A29" s="1958"/>
      <c r="B29" s="1952" t="s">
        <v>2299</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578"/>
      <c r="Q29" s="1605" t="str">
        <f t="shared" si="8"/>
        <v>基础设施水平</v>
      </c>
      <c r="R29" s="1651" t="s">
        <v>25</v>
      </c>
      <c r="S29" s="1652">
        <f>F29</f>
        <v>100</v>
      </c>
      <c r="T29" s="1651" t="s">
        <v>25</v>
      </c>
      <c r="U29" s="1652">
        <f>H29</f>
        <v>100</v>
      </c>
      <c r="V29" s="1651" t="s">
        <v>25</v>
      </c>
      <c r="W29" s="1652">
        <f>J29</f>
        <v>100</v>
      </c>
      <c r="X29" s="1653"/>
      <c r="Y29" s="3578"/>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578"/>
      <c r="Q30" s="1605"/>
      <c r="R30" s="1651"/>
      <c r="S30" s="1652"/>
      <c r="T30" s="1651"/>
      <c r="U30" s="1652"/>
      <c r="V30" s="1651"/>
      <c r="W30" s="1652"/>
      <c r="X30" s="1653"/>
      <c r="Y30" s="3578"/>
      <c r="Z30" s="1664"/>
      <c r="AA30" s="1699">
        <v>1</v>
      </c>
      <c r="AB30" s="1699">
        <v>1</v>
      </c>
      <c r="AC30" s="1699">
        <v>1</v>
      </c>
    </row>
    <row r="31" spans="1:29" ht="15">
      <c r="A31" s="1638"/>
      <c r="B31" s="1949" t="s">
        <v>2300</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578"/>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78"/>
      <c r="Z31" s="1698" t="str">
        <f t="shared" ref="Z31:Z45" si="13">Q31</f>
        <v>临街状况</v>
      </c>
      <c r="AA31" s="1699">
        <f t="shared" si="3"/>
        <v>1</v>
      </c>
      <c r="AB31" s="1699">
        <f t="shared" si="4"/>
        <v>1</v>
      </c>
      <c r="AC31" s="1699">
        <f t="shared" si="5"/>
        <v>1</v>
      </c>
    </row>
    <row r="32" spans="1:29" ht="27">
      <c r="A32" s="1638"/>
      <c r="B32" s="1952" t="s">
        <v>2330</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578"/>
      <c r="Q32" s="1586" t="str">
        <f t="shared" si="8"/>
        <v>毗邻道路的类型与等级</v>
      </c>
      <c r="R32" s="1696" t="s">
        <v>25</v>
      </c>
      <c r="S32" s="1697">
        <f t="shared" si="10"/>
        <v>100</v>
      </c>
      <c r="T32" s="1696" t="s">
        <v>25</v>
      </c>
      <c r="U32" s="1697">
        <f t="shared" si="11"/>
        <v>100</v>
      </c>
      <c r="V32" s="1696" t="s">
        <v>25</v>
      </c>
      <c r="W32" s="1697">
        <f t="shared" si="12"/>
        <v>100</v>
      </c>
      <c r="X32" s="1636"/>
      <c r="Y32" s="3578"/>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578"/>
      <c r="Q33" s="1586"/>
      <c r="R33" s="1696"/>
      <c r="S33" s="1697"/>
      <c r="T33" s="1696"/>
      <c r="U33" s="1697"/>
      <c r="V33" s="1696"/>
      <c r="W33" s="1697"/>
      <c r="X33" s="1636"/>
      <c r="Y33" s="3578"/>
      <c r="Z33" s="1698"/>
      <c r="AA33" s="1699">
        <v>1</v>
      </c>
      <c r="AB33" s="1699">
        <v>1</v>
      </c>
      <c r="AC33" s="1699">
        <v>1</v>
      </c>
    </row>
    <row r="34" spans="1:29" ht="15">
      <c r="A34" s="1638"/>
      <c r="B34" s="1961" t="s">
        <v>2391</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578"/>
      <c r="Q34" s="1586" t="str">
        <f t="shared" si="8"/>
        <v>土地级别</v>
      </c>
      <c r="R34" s="1696" t="s">
        <v>25</v>
      </c>
      <c r="S34" s="1697">
        <f t="shared" si="10"/>
        <v>100</v>
      </c>
      <c r="T34" s="1696" t="s">
        <v>25</v>
      </c>
      <c r="U34" s="1697">
        <f t="shared" si="11"/>
        <v>100</v>
      </c>
      <c r="V34" s="1696" t="s">
        <v>25</v>
      </c>
      <c r="W34" s="1697">
        <f t="shared" si="12"/>
        <v>100</v>
      </c>
      <c r="X34" s="1636"/>
      <c r="Y34" s="3578"/>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578"/>
      <c r="Q35" s="1586">
        <f t="shared" si="8"/>
        <v>111</v>
      </c>
      <c r="R35" s="1696" t="s">
        <v>25</v>
      </c>
      <c r="S35" s="1697">
        <f t="shared" si="10"/>
        <v>100</v>
      </c>
      <c r="T35" s="1696" t="s">
        <v>25</v>
      </c>
      <c r="U35" s="1697">
        <f t="shared" si="11"/>
        <v>100</v>
      </c>
      <c r="V35" s="1696" t="s">
        <v>25</v>
      </c>
      <c r="W35" s="1697">
        <f t="shared" si="12"/>
        <v>100</v>
      </c>
      <c r="X35" s="1636"/>
      <c r="Y35" s="3578"/>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579" t="s">
        <v>2218</v>
      </c>
      <c r="Q36" s="1586">
        <f t="shared" si="8"/>
        <v>111</v>
      </c>
      <c r="R36" s="1696" t="s">
        <v>25</v>
      </c>
      <c r="S36" s="1697">
        <f t="shared" si="10"/>
        <v>100</v>
      </c>
      <c r="T36" s="1696" t="s">
        <v>25</v>
      </c>
      <c r="U36" s="1697">
        <f t="shared" si="11"/>
        <v>100</v>
      </c>
      <c r="V36" s="1696" t="s">
        <v>25</v>
      </c>
      <c r="W36" s="1697">
        <f t="shared" si="12"/>
        <v>100</v>
      </c>
      <c r="X36" s="1636"/>
      <c r="Y36" s="3580" t="s">
        <v>2218</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580"/>
      <c r="Q37" s="1586">
        <f t="shared" si="8"/>
        <v>111</v>
      </c>
      <c r="R37" s="1738" t="s">
        <v>25</v>
      </c>
      <c r="S37" s="1739">
        <f t="shared" si="10"/>
        <v>100</v>
      </c>
      <c r="T37" s="1738" t="s">
        <v>25</v>
      </c>
      <c r="U37" s="1739">
        <f t="shared" si="11"/>
        <v>100</v>
      </c>
      <c r="V37" s="1738" t="s">
        <v>25</v>
      </c>
      <c r="W37" s="1739">
        <f t="shared" si="12"/>
        <v>100</v>
      </c>
      <c r="X37" s="1740"/>
      <c r="Y37" s="3580"/>
      <c r="Z37" s="1741">
        <f t="shared" si="13"/>
        <v>111</v>
      </c>
      <c r="AA37" s="1699">
        <f t="shared" si="3"/>
        <v>1</v>
      </c>
      <c r="AB37" s="1699">
        <f t="shared" si="4"/>
        <v>1</v>
      </c>
      <c r="AC37" s="1699">
        <f t="shared" si="5"/>
        <v>1</v>
      </c>
    </row>
    <row r="38" spans="1:29" ht="15">
      <c r="A38" s="1633" t="s">
        <v>2216</v>
      </c>
      <c r="B38" s="1714" t="s">
        <v>2392</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580"/>
      <c r="Q38" s="1586" t="str">
        <f>B38</f>
        <v>宗地面积</v>
      </c>
      <c r="R38" s="1696" t="s">
        <v>25</v>
      </c>
      <c r="S38" s="1697" t="e">
        <f t="shared" si="10"/>
        <v>#N/A</v>
      </c>
      <c r="T38" s="1696" t="s">
        <v>25</v>
      </c>
      <c r="U38" s="1697" t="e">
        <f t="shared" si="11"/>
        <v>#N/A</v>
      </c>
      <c r="V38" s="1696" t="s">
        <v>25</v>
      </c>
      <c r="W38" s="1697" t="e">
        <f t="shared" si="12"/>
        <v>#N/A</v>
      </c>
      <c r="X38" s="1636"/>
      <c r="Y38" s="3580"/>
      <c r="Z38" s="1698" t="str">
        <f t="shared" si="13"/>
        <v>宗地面积</v>
      </c>
      <c r="AA38" s="1699" t="e">
        <f t="shared" si="3"/>
        <v>#N/A</v>
      </c>
      <c r="AB38" s="1699" t="e">
        <f t="shared" si="4"/>
        <v>#N/A</v>
      </c>
      <c r="AC38" s="1699" t="e">
        <f t="shared" si="5"/>
        <v>#N/A</v>
      </c>
    </row>
    <row r="39" spans="1:29" ht="15">
      <c r="A39" s="1743"/>
      <c r="B39" s="1666" t="s">
        <v>2393</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580"/>
      <c r="Q39" s="1586" t="str">
        <f t="shared" ref="Q39:Q45" si="14">B39</f>
        <v>宗地形状</v>
      </c>
      <c r="R39" s="1696" t="s">
        <v>25</v>
      </c>
      <c r="S39" s="1697">
        <f t="shared" si="10"/>
        <v>100</v>
      </c>
      <c r="T39" s="1696" t="s">
        <v>25</v>
      </c>
      <c r="U39" s="1697">
        <f t="shared" si="11"/>
        <v>100</v>
      </c>
      <c r="V39" s="1696" t="s">
        <v>25</v>
      </c>
      <c r="W39" s="1697">
        <f t="shared" si="12"/>
        <v>100</v>
      </c>
      <c r="X39" s="1636"/>
      <c r="Y39" s="3580"/>
      <c r="Z39" s="1698" t="str">
        <f t="shared" si="13"/>
        <v>宗地形状</v>
      </c>
      <c r="AA39" s="1699">
        <f t="shared" si="3"/>
        <v>1</v>
      </c>
      <c r="AB39" s="1699">
        <f t="shared" si="4"/>
        <v>1</v>
      </c>
      <c r="AC39" s="1699">
        <f t="shared" si="5"/>
        <v>1</v>
      </c>
    </row>
    <row r="40" spans="1:29" ht="15">
      <c r="A40" s="1743"/>
      <c r="B40" s="1666" t="s">
        <v>2394</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580"/>
      <c r="Q40" s="1586" t="str">
        <f t="shared" si="14"/>
        <v>临街宽度及深度</v>
      </c>
      <c r="R40" s="1696" t="s">
        <v>25</v>
      </c>
      <c r="S40" s="1697">
        <f t="shared" si="10"/>
        <v>100</v>
      </c>
      <c r="T40" s="1696" t="s">
        <v>25</v>
      </c>
      <c r="U40" s="1697">
        <f t="shared" si="11"/>
        <v>100</v>
      </c>
      <c r="V40" s="1696" t="s">
        <v>25</v>
      </c>
      <c r="W40" s="1697">
        <f t="shared" si="12"/>
        <v>100</v>
      </c>
      <c r="X40" s="1636"/>
      <c r="Y40" s="3580"/>
      <c r="Z40" s="1698" t="str">
        <f t="shared" si="13"/>
        <v>临街宽度及深度</v>
      </c>
      <c r="AA40" s="1699">
        <f t="shared" si="3"/>
        <v>1</v>
      </c>
      <c r="AB40" s="1699">
        <f t="shared" si="4"/>
        <v>1</v>
      </c>
      <c r="AC40" s="1699">
        <f t="shared" si="5"/>
        <v>1</v>
      </c>
    </row>
    <row r="41" spans="1:29" s="1655" customFormat="1" ht="15">
      <c r="A41" s="1746"/>
      <c r="B41" s="1666" t="s">
        <v>2395</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580"/>
      <c r="Q41" s="1586" t="str">
        <f t="shared" si="14"/>
        <v>宗地开发程度</v>
      </c>
      <c r="R41" s="1651" t="s">
        <v>25</v>
      </c>
      <c r="S41" s="1652">
        <f t="shared" si="10"/>
        <v>100</v>
      </c>
      <c r="T41" s="1651" t="s">
        <v>25</v>
      </c>
      <c r="U41" s="1652">
        <f t="shared" si="11"/>
        <v>100</v>
      </c>
      <c r="V41" s="1651" t="s">
        <v>25</v>
      </c>
      <c r="W41" s="1652">
        <f t="shared" si="12"/>
        <v>100</v>
      </c>
      <c r="X41" s="1653"/>
      <c r="Y41" s="3580"/>
      <c r="Z41" s="1664" t="str">
        <f t="shared" si="13"/>
        <v>宗地开发程度</v>
      </c>
      <c r="AA41" s="1654">
        <f t="shared" si="3"/>
        <v>1</v>
      </c>
      <c r="AB41" s="1654">
        <f t="shared" si="4"/>
        <v>1</v>
      </c>
      <c r="AC41" s="1654">
        <f t="shared" si="5"/>
        <v>1</v>
      </c>
    </row>
    <row r="42" spans="1:29" ht="15">
      <c r="A42" s="1743"/>
      <c r="B42" s="1666" t="s">
        <v>2396</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580" t="s">
        <v>2218</v>
      </c>
      <c r="Q42" s="1586" t="str">
        <f t="shared" si="14"/>
        <v>工程地质条件</v>
      </c>
      <c r="R42" s="1696" t="s">
        <v>25</v>
      </c>
      <c r="S42" s="1697">
        <f t="shared" si="10"/>
        <v>100</v>
      </c>
      <c r="T42" s="1696" t="s">
        <v>25</v>
      </c>
      <c r="U42" s="1697">
        <f t="shared" si="11"/>
        <v>100</v>
      </c>
      <c r="V42" s="1696" t="s">
        <v>25</v>
      </c>
      <c r="W42" s="1697">
        <f t="shared" si="12"/>
        <v>100</v>
      </c>
      <c r="X42" s="1636"/>
      <c r="Y42" s="3580" t="s">
        <v>2218</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580"/>
      <c r="Q43" s="1586">
        <f t="shared" si="14"/>
        <v>111</v>
      </c>
      <c r="R43" s="1696" t="s">
        <v>25</v>
      </c>
      <c r="S43" s="1697">
        <f t="shared" si="10"/>
        <v>100</v>
      </c>
      <c r="T43" s="1696" t="s">
        <v>25</v>
      </c>
      <c r="U43" s="1697">
        <f t="shared" si="11"/>
        <v>100</v>
      </c>
      <c r="V43" s="1696" t="s">
        <v>25</v>
      </c>
      <c r="W43" s="1697">
        <f t="shared" si="12"/>
        <v>100</v>
      </c>
      <c r="X43" s="1636"/>
      <c r="Y43" s="3580"/>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580"/>
      <c r="Q44" s="1586">
        <f t="shared" si="14"/>
        <v>111</v>
      </c>
      <c r="R44" s="1696" t="s">
        <v>25</v>
      </c>
      <c r="S44" s="1697">
        <f t="shared" si="10"/>
        <v>100</v>
      </c>
      <c r="T44" s="1696" t="s">
        <v>25</v>
      </c>
      <c r="U44" s="1697">
        <f t="shared" si="11"/>
        <v>100</v>
      </c>
      <c r="V44" s="1696" t="s">
        <v>25</v>
      </c>
      <c r="W44" s="1697">
        <f t="shared" si="12"/>
        <v>100</v>
      </c>
      <c r="X44" s="1636"/>
      <c r="Y44" s="3580"/>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580"/>
      <c r="Q45" s="1586">
        <f t="shared" si="14"/>
        <v>111</v>
      </c>
      <c r="R45" s="1738" t="s">
        <v>25</v>
      </c>
      <c r="S45" s="1739">
        <f t="shared" si="10"/>
        <v>100</v>
      </c>
      <c r="T45" s="1738" t="s">
        <v>25</v>
      </c>
      <c r="U45" s="1739">
        <f t="shared" si="11"/>
        <v>100</v>
      </c>
      <c r="V45" s="1738" t="s">
        <v>25</v>
      </c>
      <c r="W45" s="1739">
        <f t="shared" si="12"/>
        <v>100</v>
      </c>
      <c r="X45" s="1740"/>
      <c r="Y45" s="3580"/>
      <c r="Z45" s="1741">
        <f t="shared" si="13"/>
        <v>111</v>
      </c>
      <c r="AA45" s="1699">
        <f t="shared" si="3"/>
        <v>1</v>
      </c>
      <c r="AB45" s="1699">
        <f t="shared" si="4"/>
        <v>1</v>
      </c>
      <c r="AC45" s="1699">
        <f t="shared" si="5"/>
        <v>1</v>
      </c>
    </row>
    <row r="46" spans="1:29" ht="15">
      <c r="A46" s="1752" t="s">
        <v>2360</v>
      </c>
      <c r="B46" s="1977" t="s">
        <v>2397</v>
      </c>
      <c r="C46" s="1978" t="s">
        <v>1</v>
      </c>
      <c r="D46" s="1979"/>
      <c r="E46" s="1980"/>
      <c r="F46" s="1981"/>
      <c r="G46" s="1982"/>
      <c r="H46" s="1983"/>
      <c r="I46" s="1980"/>
      <c r="J46" s="1983"/>
      <c r="K46" s="1984"/>
      <c r="L46" s="2973"/>
      <c r="N46" s="2968"/>
      <c r="P46" s="3549" t="str">
        <f>A46</f>
        <v>成交单价</v>
      </c>
      <c r="Q46" s="3549"/>
      <c r="R46" s="3573">
        <f>E46</f>
        <v>0</v>
      </c>
      <c r="S46" s="3573"/>
      <c r="T46" s="3573">
        <f>G46</f>
        <v>0</v>
      </c>
      <c r="U46" s="3573"/>
      <c r="V46" s="3573">
        <f>I46</f>
        <v>0</v>
      </c>
      <c r="W46" s="3573"/>
      <c r="X46" s="1762"/>
      <c r="Y46" s="1763"/>
      <c r="Z46" s="1762"/>
      <c r="AA46" s="1762"/>
      <c r="AB46" s="1762"/>
      <c r="AC46" s="1762"/>
    </row>
    <row r="47" spans="1:29" ht="15.75" thickBot="1">
      <c r="A47" s="1764" t="s">
        <v>2313</v>
      </c>
      <c r="B47" s="1985"/>
      <c r="C47" s="1986" t="e">
        <f>R48</f>
        <v>#DIV/0!</v>
      </c>
      <c r="D47" s="1767" t="s">
        <v>2687</v>
      </c>
      <c r="E47" s="1986" t="e">
        <f>R47</f>
        <v>#DIV/0!</v>
      </c>
      <c r="F47" s="1769"/>
      <c r="G47" s="1987" t="e">
        <f>T47</f>
        <v>#DIV/0!</v>
      </c>
      <c r="H47" s="1769"/>
      <c r="I47" s="1986" t="e">
        <f>V47</f>
        <v>#DIV/0!</v>
      </c>
      <c r="J47" s="1769"/>
      <c r="K47" s="2481">
        <f>F47+H47+J47</f>
        <v>0</v>
      </c>
      <c r="L47" s="2973"/>
      <c r="P47" s="3549" t="str">
        <f>A47</f>
        <v>比较价值（元/平方米）</v>
      </c>
      <c r="Q47" s="3549"/>
      <c r="R47" s="3691" t="e">
        <f>ROUND(PRODUCT(R46,AA7:AA45),0)</f>
        <v>#DIV/0!</v>
      </c>
      <c r="S47" s="3691"/>
      <c r="T47" s="3691" t="e">
        <f>ROUND(PRODUCT(T46,AB7:AB45),0)</f>
        <v>#DIV/0!</v>
      </c>
      <c r="U47" s="3691"/>
      <c r="V47" s="3691" t="e">
        <f>ROUND(PRODUCT(V46,AC7:AC45),0)</f>
        <v>#DIV/0!</v>
      </c>
      <c r="W47" s="3691"/>
      <c r="X47" s="1762"/>
      <c r="Y47" s="1762"/>
      <c r="Z47" s="1762"/>
      <c r="AA47" s="1762"/>
      <c r="AB47" s="1762"/>
      <c r="AC47" s="1762"/>
    </row>
    <row r="48" spans="1:29" ht="15.75" thickBot="1">
      <c r="A48" s="1770" t="s">
        <v>2336</v>
      </c>
      <c r="B48" s="1771"/>
      <c r="C48" s="1988" t="e">
        <f>R48</f>
        <v>#DIV/0!</v>
      </c>
      <c r="D48" s="1988"/>
      <c r="E48" s="1988"/>
      <c r="F48" s="1988"/>
      <c r="G48" s="1988"/>
      <c r="H48" s="1988"/>
      <c r="I48" s="1988"/>
      <c r="J48" s="1988"/>
      <c r="K48" s="1989"/>
      <c r="L48" s="2973"/>
      <c r="P48" s="3583" t="str">
        <f>A48</f>
        <v>估价对象XX用房的比较价值（楼面单价，元/平方米）</v>
      </c>
      <c r="Q48" s="3584"/>
      <c r="R48" s="3692" t="e">
        <f>ROUND(IF(D47="简单平均",AVERAGE(R47:W47),R47*F47+T47*H47+V47*J47),0)</f>
        <v>#DIV/0!</v>
      </c>
      <c r="S48" s="3692"/>
      <c r="T48" s="3692"/>
      <c r="U48" s="3692"/>
      <c r="V48" s="3692"/>
      <c r="W48" s="3692"/>
      <c r="X48" s="1762"/>
      <c r="Y48" s="1762"/>
      <c r="Z48" s="1762"/>
      <c r="AA48" s="1762"/>
      <c r="AB48" s="1762"/>
      <c r="AC48" s="1762"/>
    </row>
    <row r="49" spans="1:14">
      <c r="G49" s="2977"/>
    </row>
    <row r="51" spans="1:14" ht="13.5" customHeight="1">
      <c r="C51" s="383" t="s">
        <v>2315</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2316</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2317</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2398</v>
      </c>
      <c r="B55" s="1990" t="s">
        <v>2399</v>
      </c>
      <c r="C55" s="1991" t="s">
        <v>2400</v>
      </c>
      <c r="D55" s="1992" t="s">
        <v>2401</v>
      </c>
      <c r="E55" s="1993" t="s">
        <v>2402</v>
      </c>
      <c r="F55" s="1994" t="s">
        <v>2403</v>
      </c>
      <c r="G55" s="1889" t="s">
        <v>2404</v>
      </c>
      <c r="H55" s="1889" t="str">
        <f>项目基本情况!G8</f>
        <v>XX</v>
      </c>
      <c r="I55" s="1564" t="s">
        <v>2405</v>
      </c>
      <c r="J55" s="1995"/>
      <c r="K55" s="1776"/>
    </row>
    <row r="56" spans="1:14" s="2002" customFormat="1">
      <c r="A56" s="1996" t="s">
        <v>2406</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2407</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2408</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80"/>
      <c r="L58" s="2974"/>
      <c r="M58" s="1784"/>
      <c r="N58" s="1784"/>
    </row>
    <row r="59" spans="1:14" s="2002" customFormat="1">
      <c r="A59" s="2003" t="s">
        <v>2409</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2410</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80"/>
      <c r="L60" s="2974"/>
      <c r="M60" s="1784"/>
      <c r="N60" s="1784"/>
    </row>
    <row r="61" spans="1:14" s="2002" customFormat="1">
      <c r="A61" s="2003" t="s">
        <v>2411</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2412</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80"/>
      <c r="L62" s="2974"/>
      <c r="M62" s="1784"/>
      <c r="N62" s="1784"/>
    </row>
    <row r="63" spans="1:14" s="2002" customFormat="1">
      <c r="A63" s="2003" t="s">
        <v>2413</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2414</v>
      </c>
      <c r="B64" s="2004" t="e">
        <f t="shared" si="16"/>
        <v>#DIV/0!</v>
      </c>
      <c r="C64" s="50">
        <f t="shared" si="17"/>
        <v>0.2</v>
      </c>
      <c r="D64" s="2005">
        <v>0.25</v>
      </c>
      <c r="E64" s="1999">
        <v>0</v>
      </c>
      <c r="F64" s="2000" t="e">
        <f t="shared" si="15"/>
        <v>#DIV/0!</v>
      </c>
      <c r="G64" s="2001">
        <f>G63</f>
        <v>0.2</v>
      </c>
      <c r="H64" s="2006"/>
      <c r="I64" s="1784"/>
      <c r="J64" s="1784"/>
      <c r="K64" s="2980"/>
      <c r="L64" s="2974"/>
      <c r="M64" s="1784"/>
      <c r="N64" s="1784"/>
    </row>
    <row r="65" spans="1:17" s="2002" customFormat="1">
      <c r="A65" s="2003" t="s">
        <v>2415</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2416</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2021-12-1</v>
      </c>
      <c r="D68" s="2011">
        <f>EDATE(C68,-3)</f>
        <v>44440</v>
      </c>
      <c r="E68" s="2011">
        <f t="shared" ref="E68:O68" si="18">EDATE(D68,-3)</f>
        <v>44348</v>
      </c>
      <c r="F68" s="2011">
        <f t="shared" si="18"/>
        <v>44256</v>
      </c>
      <c r="G68" s="2011">
        <f t="shared" si="18"/>
        <v>44166</v>
      </c>
      <c r="H68" s="2011">
        <f t="shared" si="18"/>
        <v>44075</v>
      </c>
      <c r="I68" s="2011">
        <f t="shared" si="18"/>
        <v>43983</v>
      </c>
      <c r="J68" s="2011">
        <f t="shared" si="18"/>
        <v>43891</v>
      </c>
      <c r="K68" s="2011">
        <f t="shared" si="18"/>
        <v>43800</v>
      </c>
      <c r="L68" s="2011">
        <f t="shared" si="18"/>
        <v>43709</v>
      </c>
      <c r="M68" s="2011">
        <f t="shared" si="18"/>
        <v>43617</v>
      </c>
      <c r="N68" s="2011">
        <f t="shared" si="18"/>
        <v>43525</v>
      </c>
      <c r="O68" s="2011">
        <f t="shared" si="18"/>
        <v>43435</v>
      </c>
    </row>
    <row r="69" spans="1:17" ht="21.75" thickBot="1">
      <c r="A69" s="1787" t="s">
        <v>2318</v>
      </c>
      <c r="B69" s="1762"/>
      <c r="C69" s="1788"/>
      <c r="D69" s="1788"/>
      <c r="E69" s="1788"/>
      <c r="F69" s="1788"/>
      <c r="G69" s="1788"/>
      <c r="H69" s="1788"/>
      <c r="I69" s="2013"/>
      <c r="J69" s="2013"/>
      <c r="K69" s="2014"/>
      <c r="L69" s="2015"/>
      <c r="M69" s="2013"/>
      <c r="N69" s="2013"/>
      <c r="O69" s="2013"/>
      <c r="P69" s="2016"/>
      <c r="Q69" s="1792"/>
    </row>
    <row r="70" spans="1:17" s="2021" customFormat="1" ht="15">
      <c r="A70" s="2017" t="s">
        <v>2417</v>
      </c>
      <c r="B70" s="2018"/>
      <c r="C70" s="2019" t="str">
        <f>YEAR(C68)&amp;"-"&amp;ROUNDUP(MONTH(C68)/3,0)</f>
        <v>2021-4</v>
      </c>
      <c r="D70" s="2019" t="str">
        <f>YEAR(D68)&amp;"-"&amp;ROUNDUP(MONTH(D68)/3,0)</f>
        <v>2021-3</v>
      </c>
      <c r="E70" s="2019" t="str">
        <f t="shared" ref="E70:O70" si="19">YEAR(E68)&amp;"-"&amp;ROUNDUP(MONTH(E68)/3,0)</f>
        <v>2021-2</v>
      </c>
      <c r="F70" s="2019" t="str">
        <f t="shared" si="19"/>
        <v>2021-1</v>
      </c>
      <c r="G70" s="2019" t="str">
        <f t="shared" si="19"/>
        <v>2020-4</v>
      </c>
      <c r="H70" s="2019" t="str">
        <f t="shared" si="19"/>
        <v>2020-3</v>
      </c>
      <c r="I70" s="2019" t="str">
        <f t="shared" si="19"/>
        <v>2020-2</v>
      </c>
      <c r="J70" s="2019" t="str">
        <f t="shared" si="19"/>
        <v>2020-1</v>
      </c>
      <c r="K70" s="2019" t="str">
        <f t="shared" si="19"/>
        <v>2019-4</v>
      </c>
      <c r="L70" s="2019" t="str">
        <f t="shared" si="19"/>
        <v>2019-3</v>
      </c>
      <c r="M70" s="2019" t="str">
        <f t="shared" si="19"/>
        <v>2019-2</v>
      </c>
      <c r="N70" s="2019" t="str">
        <f t="shared" si="19"/>
        <v>2019-1</v>
      </c>
      <c r="O70" s="2019" t="str">
        <f t="shared" si="19"/>
        <v>2018-4</v>
      </c>
      <c r="P70" s="2020"/>
    </row>
    <row r="71" spans="1:17" s="1655" customFormat="1" ht="29.25" customHeight="1">
      <c r="A71" s="2022" t="s">
        <v>2418</v>
      </c>
      <c r="B71" s="2023" t="str">
        <f>"北京市平均增长率"&amp;TEXT(SUMIF(基准地价修正!N21:N25,A71,基准地价修正!P21:P25),"0.00%")</f>
        <v>北京市平均增长率1.05%</v>
      </c>
      <c r="C71" s="1876">
        <v>100</v>
      </c>
      <c r="D71" s="1872"/>
      <c r="E71" s="1872"/>
      <c r="F71" s="1872"/>
      <c r="G71" s="1872"/>
      <c r="H71" s="1872"/>
      <c r="I71" s="1872"/>
      <c r="J71" s="1872"/>
      <c r="K71" s="1872"/>
      <c r="L71" s="1872"/>
      <c r="M71" s="2024"/>
      <c r="N71" s="1872"/>
      <c r="O71" s="2025"/>
      <c r="P71" s="1792"/>
    </row>
    <row r="72" spans="1:17" s="1655" customFormat="1" ht="15.75" thickBot="1">
      <c r="A72" s="1805" t="s">
        <v>2238</v>
      </c>
      <c r="B72" s="1806"/>
      <c r="C72" s="1807"/>
      <c r="D72" s="1808"/>
      <c r="E72" s="1808"/>
      <c r="F72" s="1808"/>
      <c r="G72" s="1808"/>
      <c r="H72" s="1808"/>
      <c r="I72" s="1808"/>
      <c r="J72" s="1808"/>
      <c r="K72" s="1808"/>
      <c r="L72" s="1808"/>
      <c r="M72" s="1809"/>
      <c r="N72" s="1808"/>
      <c r="O72" s="2026"/>
      <c r="P72" s="1792"/>
      <c r="Q72" s="1792"/>
    </row>
    <row r="73" spans="1:17" s="1655" customFormat="1" ht="15">
      <c r="A73" s="1810" t="s">
        <v>2202</v>
      </c>
      <c r="B73" s="1800"/>
      <c r="C73" s="1811" t="s">
        <v>2203</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2241</v>
      </c>
      <c r="B75" s="1818" t="s">
        <v>2206</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2209</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2210</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2211</v>
      </c>
      <c r="B88" s="1818" t="s">
        <v>2249</v>
      </c>
      <c r="C88" s="1856" t="s">
        <v>2250</v>
      </c>
      <c r="D88" s="1856" t="s">
        <v>2251</v>
      </c>
      <c r="E88" s="1856" t="s">
        <v>2252</v>
      </c>
      <c r="F88" s="1856" t="s">
        <v>2253</v>
      </c>
      <c r="G88" s="1856" t="s">
        <v>2254</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2419</v>
      </c>
      <c r="C90" s="579" t="s">
        <v>2250</v>
      </c>
      <c r="D90" s="579" t="s">
        <v>2251</v>
      </c>
      <c r="E90" s="579" t="s">
        <v>2252</v>
      </c>
      <c r="F90" s="579" t="s">
        <v>2253</v>
      </c>
      <c r="G90" s="579" t="s">
        <v>2254</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2337</v>
      </c>
      <c r="C92" s="579" t="s">
        <v>2250</v>
      </c>
      <c r="D92" s="579" t="s">
        <v>2251</v>
      </c>
      <c r="E92" s="579" t="s">
        <v>2252</v>
      </c>
      <c r="F92" s="579" t="s">
        <v>2253</v>
      </c>
      <c r="G92" s="579" t="s">
        <v>2254</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2255</v>
      </c>
      <c r="C94" s="579" t="s">
        <v>2250</v>
      </c>
      <c r="D94" s="579" t="s">
        <v>2251</v>
      </c>
      <c r="E94" s="579" t="s">
        <v>2252</v>
      </c>
      <c r="F94" s="579" t="s">
        <v>2253</v>
      </c>
      <c r="G94" s="579" t="s">
        <v>2254</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2420</v>
      </c>
      <c r="C96" s="579" t="s">
        <v>2250</v>
      </c>
      <c r="D96" s="579" t="s">
        <v>2251</v>
      </c>
      <c r="E96" s="579" t="s">
        <v>2252</v>
      </c>
      <c r="F96" s="579" t="s">
        <v>2253</v>
      </c>
      <c r="G96" s="579" t="s">
        <v>2254</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2421</v>
      </c>
      <c r="C98" s="1856" t="s">
        <v>2250</v>
      </c>
      <c r="D98" s="1856" t="s">
        <v>2251</v>
      </c>
      <c r="E98" s="1856" t="s">
        <v>2252</v>
      </c>
      <c r="F98" s="1856" t="s">
        <v>2253</v>
      </c>
      <c r="G98" s="1856" t="s">
        <v>2254</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2298</v>
      </c>
      <c r="C100" s="1856" t="s">
        <v>2250</v>
      </c>
      <c r="D100" s="1856" t="s">
        <v>2251</v>
      </c>
      <c r="E100" s="1856" t="s">
        <v>2252</v>
      </c>
      <c r="F100" s="1856" t="s">
        <v>2253</v>
      </c>
      <c r="G100" s="1856" t="s">
        <v>2254</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2299</v>
      </c>
      <c r="C102" s="1830" t="s">
        <v>2257</v>
      </c>
      <c r="D102" s="1830" t="s">
        <v>2258</v>
      </c>
      <c r="E102" s="1830" t="s">
        <v>2259</v>
      </c>
      <c r="F102" s="1830" t="s">
        <v>2260</v>
      </c>
      <c r="G102" s="1830" t="s">
        <v>2261</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2422</v>
      </c>
      <c r="D104" s="1830" t="s">
        <v>2423</v>
      </c>
      <c r="E104" s="1830" t="s">
        <v>2424</v>
      </c>
      <c r="F104" s="1830" t="s">
        <v>2425</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2330</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2391</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2216</v>
      </c>
      <c r="B116" s="1818" t="s">
        <v>2426</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2427</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2428</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2429</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2430</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2383</v>
      </c>
      <c r="B1" s="289"/>
      <c r="C1" s="290" t="s">
        <v>2431</v>
      </c>
      <c r="D1" s="614"/>
      <c r="E1" s="614"/>
      <c r="F1" s="613" t="s">
        <v>2185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2385</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2386</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61" t="s">
        <v>2188</v>
      </c>
      <c r="D4" s="3662"/>
      <c r="E4" s="3663" t="s">
        <v>2189</v>
      </c>
      <c r="F4" s="3664"/>
      <c r="G4" s="3661" t="s">
        <v>2190</v>
      </c>
      <c r="H4" s="3662"/>
      <c r="I4" s="3661" t="s">
        <v>2191</v>
      </c>
      <c r="J4" s="3662"/>
      <c r="K4" s="496" t="s">
        <v>2192</v>
      </c>
      <c r="L4" s="2995"/>
      <c r="M4" s="2996"/>
      <c r="N4" s="2996"/>
      <c r="O4" s="2996"/>
      <c r="P4" s="3665" t="s">
        <v>2193</v>
      </c>
      <c r="Q4" s="3666"/>
      <c r="R4" s="3671" t="s">
        <v>2189</v>
      </c>
      <c r="S4" s="3672"/>
      <c r="T4" s="3671" t="s">
        <v>2190</v>
      </c>
      <c r="U4" s="3672"/>
      <c r="V4" s="3677" t="s">
        <v>2191</v>
      </c>
      <c r="W4" s="3677"/>
      <c r="X4" s="1305"/>
      <c r="Y4" s="3671" t="s">
        <v>2193</v>
      </c>
      <c r="Z4" s="3672"/>
      <c r="AA4" s="3658" t="s">
        <v>2189</v>
      </c>
      <c r="AB4" s="3659" t="s">
        <v>2190</v>
      </c>
      <c r="AC4" s="3658" t="s">
        <v>2191</v>
      </c>
    </row>
    <row r="5" spans="1:29" ht="15">
      <c r="A5" s="297"/>
      <c r="B5" s="298"/>
      <c r="C5" s="3654" t="s">
        <v>2194</v>
      </c>
      <c r="D5" s="3655"/>
      <c r="E5" s="3678" t="s">
        <v>2195</v>
      </c>
      <c r="F5" s="3679"/>
      <c r="G5" s="3654" t="s">
        <v>2196</v>
      </c>
      <c r="H5" s="3655"/>
      <c r="I5" s="3654" t="s">
        <v>2197</v>
      </c>
      <c r="J5" s="3655"/>
      <c r="K5" s="496"/>
      <c r="L5" s="2995"/>
      <c r="M5" s="2996"/>
      <c r="N5" s="2996"/>
      <c r="O5" s="2996"/>
      <c r="P5" s="3667"/>
      <c r="Q5" s="3668"/>
      <c r="R5" s="3673"/>
      <c r="S5" s="3674"/>
      <c r="T5" s="3673"/>
      <c r="U5" s="3674"/>
      <c r="V5" s="3677"/>
      <c r="W5" s="3677"/>
      <c r="X5" s="1305"/>
      <c r="Y5" s="3673"/>
      <c r="Z5" s="3674"/>
      <c r="AA5" s="3659"/>
      <c r="AB5" s="3659"/>
      <c r="AC5" s="3659"/>
    </row>
    <row r="6" spans="1:29" ht="15.75" thickBot="1">
      <c r="A6" s="299"/>
      <c r="B6" s="300"/>
      <c r="C6" s="3651" t="s">
        <v>2198</v>
      </c>
      <c r="D6" s="3652"/>
      <c r="E6" s="3649" t="s">
        <v>2198</v>
      </c>
      <c r="F6" s="3650"/>
      <c r="G6" s="3651" t="s">
        <v>2198</v>
      </c>
      <c r="H6" s="3652"/>
      <c r="I6" s="3651" t="s">
        <v>2198</v>
      </c>
      <c r="J6" s="3652"/>
      <c r="K6" s="496" t="s">
        <v>2199</v>
      </c>
      <c r="L6" s="2995"/>
      <c r="M6" s="2996"/>
      <c r="N6" s="2996"/>
      <c r="O6" s="2996"/>
      <c r="P6" s="3669"/>
      <c r="Q6" s="3670"/>
      <c r="R6" s="3673"/>
      <c r="S6" s="3674"/>
      <c r="T6" s="3675"/>
      <c r="U6" s="3676"/>
      <c r="V6" s="3677"/>
      <c r="W6" s="3677"/>
      <c r="X6" s="1305"/>
      <c r="Y6" s="3675"/>
      <c r="Z6" s="3676"/>
      <c r="AA6" s="3660"/>
      <c r="AB6" s="3660"/>
      <c r="AC6" s="3660"/>
    </row>
    <row r="7" spans="1:29" s="25" customFormat="1" ht="15.75" thickBot="1">
      <c r="A7" s="301" t="s">
        <v>2200</v>
      </c>
      <c r="B7" s="302"/>
      <c r="C7" s="303">
        <f>'数据-取费表'!B2</f>
        <v>44553</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56" t="s">
        <v>2201</v>
      </c>
      <c r="Q7" s="3680"/>
      <c r="R7" s="627" t="s">
        <v>25</v>
      </c>
      <c r="S7" s="628">
        <f t="shared" ref="S7:S15" si="0">F7</f>
        <v>0</v>
      </c>
      <c r="T7" s="627" t="s">
        <v>25</v>
      </c>
      <c r="U7" s="628">
        <f t="shared" ref="U7:U15" si="1">H7</f>
        <v>0</v>
      </c>
      <c r="V7" s="627" t="s">
        <v>25</v>
      </c>
      <c r="W7" s="628">
        <f t="shared" ref="W7:W15" si="2">J7</f>
        <v>0</v>
      </c>
      <c r="X7" s="629"/>
      <c r="Y7" s="3656" t="s">
        <v>2201</v>
      </c>
      <c r="Z7" s="3657"/>
      <c r="AA7" s="630" t="e">
        <f>D7/F7</f>
        <v>#DIV/0!</v>
      </c>
      <c r="AB7" s="630" t="e">
        <f>D7/H7</f>
        <v>#DIV/0!</v>
      </c>
      <c r="AC7" s="630" t="e">
        <f>D7/J7</f>
        <v>#DIV/0!</v>
      </c>
    </row>
    <row r="8" spans="1:29" s="25" customFormat="1" ht="15.75" thickBot="1">
      <c r="A8" s="301" t="s">
        <v>2202</v>
      </c>
      <c r="B8" s="302"/>
      <c r="C8" s="307" t="s">
        <v>2387</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56" t="s">
        <v>2204</v>
      </c>
      <c r="Q8" s="3657"/>
      <c r="R8" s="627" t="s">
        <v>25</v>
      </c>
      <c r="S8" s="628">
        <f t="shared" si="0"/>
        <v>0</v>
      </c>
      <c r="T8" s="627" t="s">
        <v>25</v>
      </c>
      <c r="U8" s="628">
        <f t="shared" si="1"/>
        <v>0</v>
      </c>
      <c r="V8" s="627" t="s">
        <v>25</v>
      </c>
      <c r="W8" s="628">
        <f t="shared" si="2"/>
        <v>0</v>
      </c>
      <c r="X8" s="629"/>
      <c r="Y8" s="3656" t="s">
        <v>2204</v>
      </c>
      <c r="Z8" s="3657"/>
      <c r="AA8" s="630" t="e">
        <f t="shared" ref="AA8:AA40" si="3">D8/F8</f>
        <v>#DIV/0!</v>
      </c>
      <c r="AB8" s="630" t="e">
        <f t="shared" ref="AB8:AB40" si="4">D8/H8</f>
        <v>#DIV/0!</v>
      </c>
      <c r="AC8" s="630" t="e">
        <f t="shared" ref="AC8:AC40" si="5">D8/J8</f>
        <v>#DIV/0!</v>
      </c>
    </row>
    <row r="9" spans="1:29" s="25" customFormat="1">
      <c r="A9" s="308" t="s">
        <v>2205</v>
      </c>
      <c r="B9" s="24" t="s">
        <v>2206</v>
      </c>
      <c r="C9" s="1556" t="s">
        <v>2432</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53" t="s">
        <v>2207</v>
      </c>
      <c r="Q9" s="1297" t="str">
        <f t="shared" ref="Q9:Q15" si="6">B9</f>
        <v>用途</v>
      </c>
      <c r="R9" s="627" t="s">
        <v>25</v>
      </c>
      <c r="S9" s="628">
        <f t="shared" si="0"/>
        <v>100</v>
      </c>
      <c r="T9" s="627" t="s">
        <v>25</v>
      </c>
      <c r="U9" s="628">
        <f t="shared" si="1"/>
        <v>100</v>
      </c>
      <c r="V9" s="627" t="s">
        <v>25</v>
      </c>
      <c r="W9" s="628">
        <f t="shared" si="2"/>
        <v>100</v>
      </c>
      <c r="X9" s="629"/>
      <c r="Y9" s="3683" t="s">
        <v>2208</v>
      </c>
      <c r="Z9" s="19" t="str">
        <f t="shared" ref="Z9:Z15" si="7">Q9</f>
        <v>用途</v>
      </c>
      <c r="AA9" s="630">
        <f t="shared" si="3"/>
        <v>1</v>
      </c>
      <c r="AB9" s="630">
        <f t="shared" si="4"/>
        <v>1</v>
      </c>
      <c r="AC9" s="630">
        <f t="shared" si="5"/>
        <v>1</v>
      </c>
    </row>
    <row r="10" spans="1:29" s="317" customFormat="1" ht="27">
      <c r="A10" s="312"/>
      <c r="B10" s="313" t="s">
        <v>2209</v>
      </c>
      <c r="C10" s="322"/>
      <c r="D10" s="29">
        <v>100</v>
      </c>
      <c r="E10" s="322"/>
      <c r="F10" s="29">
        <f>ROUND(100/'数据-取费表'!B14,0)</f>
        <v>108</v>
      </c>
      <c r="G10" s="322"/>
      <c r="H10" s="29">
        <f>ROUND(100/'数据-取费表'!B14,0)</f>
        <v>108</v>
      </c>
      <c r="I10" s="322"/>
      <c r="J10" s="29">
        <f>ROUND(100/'数据-取费表'!B14,0)</f>
        <v>108</v>
      </c>
      <c r="K10" s="553"/>
      <c r="L10" s="3000"/>
      <c r="M10" s="3001"/>
      <c r="N10" s="3001"/>
      <c r="O10" s="3002"/>
      <c r="P10" s="3653"/>
      <c r="Q10" s="1297" t="str">
        <f t="shared" si="6"/>
        <v>土地使用年限（年）</v>
      </c>
      <c r="R10" s="627" t="s">
        <v>25</v>
      </c>
      <c r="S10" s="628">
        <f t="shared" si="0"/>
        <v>108</v>
      </c>
      <c r="T10" s="627" t="s">
        <v>25</v>
      </c>
      <c r="U10" s="628">
        <f t="shared" si="1"/>
        <v>108</v>
      </c>
      <c r="V10" s="627" t="s">
        <v>25</v>
      </c>
      <c r="W10" s="628">
        <f t="shared" si="2"/>
        <v>108</v>
      </c>
      <c r="X10" s="629"/>
      <c r="Y10" s="3683"/>
      <c r="Z10" s="19" t="str">
        <f t="shared" si="7"/>
        <v>土地使用年限（年）</v>
      </c>
      <c r="AA10" s="630">
        <f t="shared" si="3"/>
        <v>0.92592592592592593</v>
      </c>
      <c r="AB10" s="630">
        <f t="shared" si="4"/>
        <v>0.92592592592592593</v>
      </c>
      <c r="AC10" s="630">
        <f t="shared" si="5"/>
        <v>0.92592592592592593</v>
      </c>
    </row>
    <row r="11" spans="1:29" ht="15">
      <c r="A11" s="318"/>
      <c r="B11" s="313" t="s">
        <v>2210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53"/>
      <c r="Q11" s="1297" t="str">
        <f t="shared" si="6"/>
        <v>容积率</v>
      </c>
      <c r="R11" s="627" t="s">
        <v>25</v>
      </c>
      <c r="S11" s="628" t="e">
        <f t="shared" si="0"/>
        <v>#N/A</v>
      </c>
      <c r="T11" s="627" t="s">
        <v>25</v>
      </c>
      <c r="U11" s="628" t="e">
        <f t="shared" si="1"/>
        <v>#N/A</v>
      </c>
      <c r="V11" s="627" t="s">
        <v>25</v>
      </c>
      <c r="W11" s="628" t="e">
        <f t="shared" si="2"/>
        <v>#N/A</v>
      </c>
      <c r="X11" s="629"/>
      <c r="Y11" s="3683"/>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53"/>
      <c r="Q12" s="1297">
        <f t="shared" si="6"/>
        <v>111</v>
      </c>
      <c r="R12" s="627" t="s">
        <v>25</v>
      </c>
      <c r="S12" s="628">
        <f t="shared" si="0"/>
        <v>100</v>
      </c>
      <c r="T12" s="627" t="s">
        <v>25</v>
      </c>
      <c r="U12" s="628">
        <f t="shared" si="1"/>
        <v>100</v>
      </c>
      <c r="V12" s="627" t="s">
        <v>25</v>
      </c>
      <c r="W12" s="628">
        <f t="shared" si="2"/>
        <v>100</v>
      </c>
      <c r="X12" s="629"/>
      <c r="Y12" s="3683"/>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53"/>
      <c r="Q13" s="1297">
        <f t="shared" si="6"/>
        <v>111</v>
      </c>
      <c r="R13" s="627" t="s">
        <v>25</v>
      </c>
      <c r="S13" s="628">
        <f t="shared" si="0"/>
        <v>100</v>
      </c>
      <c r="T13" s="627" t="s">
        <v>25</v>
      </c>
      <c r="U13" s="628">
        <f t="shared" si="1"/>
        <v>100</v>
      </c>
      <c r="V13" s="627" t="s">
        <v>25</v>
      </c>
      <c r="W13" s="628">
        <f t="shared" si="2"/>
        <v>100</v>
      </c>
      <c r="X13" s="629"/>
      <c r="Y13" s="3683"/>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53"/>
      <c r="Q14" s="1297">
        <f t="shared" si="6"/>
        <v>111</v>
      </c>
      <c r="R14" s="627" t="s">
        <v>25</v>
      </c>
      <c r="S14" s="628">
        <f t="shared" si="0"/>
        <v>100</v>
      </c>
      <c r="T14" s="627" t="s">
        <v>25</v>
      </c>
      <c r="U14" s="628">
        <f t="shared" si="1"/>
        <v>100</v>
      </c>
      <c r="V14" s="627" t="s">
        <v>25</v>
      </c>
      <c r="W14" s="628">
        <f t="shared" si="2"/>
        <v>100</v>
      </c>
      <c r="X14" s="629"/>
      <c r="Y14" s="3683"/>
      <c r="Z14" s="19">
        <f t="shared" si="7"/>
        <v>111</v>
      </c>
      <c r="AA14" s="630">
        <f t="shared" si="3"/>
        <v>1</v>
      </c>
      <c r="AB14" s="630">
        <f t="shared" si="4"/>
        <v>1</v>
      </c>
      <c r="AC14" s="630">
        <f t="shared" si="5"/>
        <v>1</v>
      </c>
    </row>
    <row r="15" spans="1:29" ht="57">
      <c r="A15" s="329" t="s">
        <v>2211</v>
      </c>
      <c r="B15" s="511" t="s">
        <v>2433</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81" t="s">
        <v>2212</v>
      </c>
      <c r="Q15" s="1304" t="str">
        <f t="shared" si="6"/>
        <v>产业集聚程度</v>
      </c>
      <c r="R15" s="631" t="s">
        <v>25</v>
      </c>
      <c r="S15" s="632">
        <f t="shared" si="0"/>
        <v>100</v>
      </c>
      <c r="T15" s="631" t="s">
        <v>25</v>
      </c>
      <c r="U15" s="632">
        <f t="shared" si="1"/>
        <v>100</v>
      </c>
      <c r="V15" s="631" t="s">
        <v>25</v>
      </c>
      <c r="W15" s="632">
        <f t="shared" si="2"/>
        <v>100</v>
      </c>
      <c r="X15" s="1305"/>
      <c r="Y15" s="3681" t="s">
        <v>2212</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82"/>
      <c r="Q16" s="1304"/>
      <c r="R16" s="631"/>
      <c r="S16" s="632"/>
      <c r="T16" s="631"/>
      <c r="U16" s="632"/>
      <c r="V16" s="631"/>
      <c r="W16" s="632"/>
      <c r="X16" s="1305"/>
      <c r="Y16" s="3682"/>
      <c r="Z16" s="1306"/>
      <c r="AA16" s="1307">
        <v>1</v>
      </c>
      <c r="AB16" s="1307">
        <v>1</v>
      </c>
      <c r="AC16" s="1307">
        <v>1</v>
      </c>
    </row>
    <row r="17" spans="1:29" ht="85.5">
      <c r="A17" s="318"/>
      <c r="B17" s="513" t="s">
        <v>2349</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82"/>
      <c r="Q17" s="1304" t="str">
        <f>B17</f>
        <v>交通便捷度</v>
      </c>
      <c r="R17" s="631" t="s">
        <v>25</v>
      </c>
      <c r="S17" s="632">
        <f>F17</f>
        <v>100</v>
      </c>
      <c r="T17" s="631" t="s">
        <v>25</v>
      </c>
      <c r="U17" s="632">
        <f>H17</f>
        <v>100</v>
      </c>
      <c r="V17" s="631" t="s">
        <v>25</v>
      </c>
      <c r="W17" s="632">
        <f>J17</f>
        <v>100</v>
      </c>
      <c r="X17" s="1305"/>
      <c r="Y17" s="3682"/>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82"/>
      <c r="Q18" s="1304"/>
      <c r="R18" s="631"/>
      <c r="S18" s="632"/>
      <c r="T18" s="631"/>
      <c r="U18" s="632"/>
      <c r="V18" s="631"/>
      <c r="W18" s="632"/>
      <c r="X18" s="1305"/>
      <c r="Y18" s="3682"/>
      <c r="Z18" s="1306"/>
      <c r="AA18" s="1307">
        <v>1</v>
      </c>
      <c r="AB18" s="1307">
        <v>1</v>
      </c>
      <c r="AC18" s="1307">
        <v>1</v>
      </c>
    </row>
    <row r="19" spans="1:29" ht="15">
      <c r="A19" s="318"/>
      <c r="B19" s="513" t="s">
        <v>2389</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82"/>
      <c r="Q19" s="1304" t="str">
        <f t="shared" ref="Q19:Q33" si="8">B19</f>
        <v>区域土地利用方向</v>
      </c>
      <c r="R19" s="631" t="s">
        <v>25</v>
      </c>
      <c r="S19" s="632">
        <f>F19</f>
        <v>100</v>
      </c>
      <c r="T19" s="631" t="s">
        <v>25</v>
      </c>
      <c r="U19" s="632">
        <f>H19</f>
        <v>100</v>
      </c>
      <c r="V19" s="631" t="s">
        <v>25</v>
      </c>
      <c r="W19" s="632">
        <f>J19</f>
        <v>100</v>
      </c>
      <c r="X19" s="1305"/>
      <c r="Y19" s="3682"/>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82"/>
      <c r="Q20" s="1304"/>
      <c r="R20" s="631"/>
      <c r="S20" s="632"/>
      <c r="T20" s="631"/>
      <c r="U20" s="632"/>
      <c r="V20" s="631"/>
      <c r="W20" s="632"/>
      <c r="X20" s="1305"/>
      <c r="Y20" s="3682"/>
      <c r="Z20" s="1306"/>
      <c r="AA20" s="1307"/>
      <c r="AB20" s="1307"/>
      <c r="AC20" s="1307"/>
    </row>
    <row r="21" spans="1:29" ht="71.25">
      <c r="A21" s="297"/>
      <c r="B21" s="513" t="s">
        <v>2434</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82"/>
      <c r="Q21" s="1304" t="str">
        <f t="shared" si="8"/>
        <v>环境状况</v>
      </c>
      <c r="R21" s="631" t="s">
        <v>25</v>
      </c>
      <c r="S21" s="632">
        <f>F21</f>
        <v>100</v>
      </c>
      <c r="T21" s="631" t="s">
        <v>25</v>
      </c>
      <c r="U21" s="632">
        <f>H21</f>
        <v>100</v>
      </c>
      <c r="V21" s="631" t="s">
        <v>25</v>
      </c>
      <c r="W21" s="632">
        <f>J21</f>
        <v>100</v>
      </c>
      <c r="X21" s="1305"/>
      <c r="Y21" s="3682"/>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82"/>
      <c r="Q22" s="1304"/>
      <c r="R22" s="631"/>
      <c r="S22" s="632"/>
      <c r="T22" s="631"/>
      <c r="U22" s="632"/>
      <c r="V22" s="631"/>
      <c r="W22" s="632"/>
      <c r="X22" s="1305"/>
      <c r="Y22" s="3682"/>
      <c r="Z22" s="1306"/>
      <c r="AA22" s="1307">
        <v>1</v>
      </c>
      <c r="AB22" s="1307">
        <v>1</v>
      </c>
      <c r="AC22" s="1307">
        <v>1</v>
      </c>
    </row>
    <row r="23" spans="1:29" s="25" customFormat="1" ht="42.75">
      <c r="A23" s="531"/>
      <c r="B23" s="513" t="s">
        <v>2298</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82"/>
      <c r="Q23" s="1297" t="str">
        <f t="shared" si="8"/>
        <v>公共配套设施</v>
      </c>
      <c r="R23" s="627" t="s">
        <v>25</v>
      </c>
      <c r="S23" s="628">
        <f>F23</f>
        <v>100</v>
      </c>
      <c r="T23" s="627" t="s">
        <v>25</v>
      </c>
      <c r="U23" s="628">
        <f>H23</f>
        <v>100</v>
      </c>
      <c r="V23" s="627" t="s">
        <v>25</v>
      </c>
      <c r="W23" s="628">
        <f>J23</f>
        <v>100</v>
      </c>
      <c r="X23" s="629"/>
      <c r="Y23" s="3682"/>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82"/>
      <c r="Q24" s="1297"/>
      <c r="R24" s="627"/>
      <c r="S24" s="628"/>
      <c r="T24" s="627"/>
      <c r="U24" s="628"/>
      <c r="V24" s="627"/>
      <c r="W24" s="628"/>
      <c r="X24" s="629"/>
      <c r="Y24" s="3682"/>
      <c r="Z24" s="19"/>
      <c r="AA24" s="630">
        <v>1</v>
      </c>
      <c r="AB24" s="630">
        <v>1</v>
      </c>
      <c r="AC24" s="630">
        <v>1</v>
      </c>
    </row>
    <row r="25" spans="1:29" s="25" customFormat="1" ht="28.5">
      <c r="A25" s="531"/>
      <c r="B25" s="515" t="s">
        <v>2299</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82"/>
      <c r="Q25" s="1297" t="str">
        <f t="shared" ref="Q25" si="9">B25</f>
        <v>基础设施水平</v>
      </c>
      <c r="R25" s="627" t="s">
        <v>25</v>
      </c>
      <c r="S25" s="628">
        <f>F25</f>
        <v>100</v>
      </c>
      <c r="T25" s="627" t="s">
        <v>25</v>
      </c>
      <c r="U25" s="628">
        <f>H25</f>
        <v>100</v>
      </c>
      <c r="V25" s="627" t="s">
        <v>25</v>
      </c>
      <c r="W25" s="628">
        <f>J25</f>
        <v>100</v>
      </c>
      <c r="X25" s="629"/>
      <c r="Y25" s="3682"/>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82"/>
      <c r="Q26" s="1297"/>
      <c r="R26" s="627"/>
      <c r="S26" s="628"/>
      <c r="T26" s="627"/>
      <c r="U26" s="628"/>
      <c r="V26" s="627"/>
      <c r="W26" s="628"/>
      <c r="X26" s="629"/>
      <c r="Y26" s="3682"/>
      <c r="Z26" s="19"/>
      <c r="AA26" s="630">
        <v>1</v>
      </c>
      <c r="AB26" s="630">
        <v>1</v>
      </c>
      <c r="AC26" s="630">
        <v>1</v>
      </c>
    </row>
    <row r="27" spans="1:29" ht="15">
      <c r="A27" s="318"/>
      <c r="B27" s="514" t="s">
        <v>2300</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82"/>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82"/>
      <c r="Z27" s="1306" t="str">
        <f t="shared" ref="Z27:Z40" si="13">Q27</f>
        <v>临街状况</v>
      </c>
      <c r="AA27" s="1307">
        <f t="shared" si="3"/>
        <v>1</v>
      </c>
      <c r="AB27" s="1307">
        <f t="shared" si="4"/>
        <v>1</v>
      </c>
      <c r="AC27" s="1307">
        <f t="shared" si="5"/>
        <v>1</v>
      </c>
    </row>
    <row r="28" spans="1:29" ht="27">
      <c r="A28" s="318"/>
      <c r="B28" s="515" t="s">
        <v>2330</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82"/>
      <c r="Q28" s="1304" t="str">
        <f t="shared" si="8"/>
        <v>毗邻道路的类型与等级</v>
      </c>
      <c r="R28" s="631" t="s">
        <v>25</v>
      </c>
      <c r="S28" s="632">
        <f t="shared" si="10"/>
        <v>100</v>
      </c>
      <c r="T28" s="631" t="s">
        <v>25</v>
      </c>
      <c r="U28" s="632">
        <f t="shared" si="11"/>
        <v>100</v>
      </c>
      <c r="V28" s="631" t="s">
        <v>25</v>
      </c>
      <c r="W28" s="632">
        <f t="shared" si="12"/>
        <v>100</v>
      </c>
      <c r="X28" s="1305"/>
      <c r="Y28" s="3682"/>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82"/>
      <c r="Q29" s="1304"/>
      <c r="R29" s="631"/>
      <c r="S29" s="632"/>
      <c r="T29" s="631"/>
      <c r="U29" s="632"/>
      <c r="V29" s="631"/>
      <c r="W29" s="632"/>
      <c r="X29" s="1305"/>
      <c r="Y29" s="3682"/>
      <c r="Z29" s="1306"/>
      <c r="AA29" s="1307">
        <v>1</v>
      </c>
      <c r="AB29" s="1307">
        <v>1</v>
      </c>
      <c r="AC29" s="1307">
        <v>1</v>
      </c>
    </row>
    <row r="30" spans="1:29" ht="15">
      <c r="A30" s="318"/>
      <c r="B30" s="535" t="s">
        <v>2391</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82"/>
      <c r="Q30" s="1304" t="str">
        <f t="shared" si="8"/>
        <v>土地级别</v>
      </c>
      <c r="R30" s="631" t="s">
        <v>25</v>
      </c>
      <c r="S30" s="632">
        <f t="shared" si="10"/>
        <v>100</v>
      </c>
      <c r="T30" s="631" t="s">
        <v>25</v>
      </c>
      <c r="U30" s="632">
        <f t="shared" si="11"/>
        <v>100</v>
      </c>
      <c r="V30" s="631" t="s">
        <v>25</v>
      </c>
      <c r="W30" s="632">
        <f t="shared" si="12"/>
        <v>100</v>
      </c>
      <c r="X30" s="1305"/>
      <c r="Y30" s="3682"/>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82"/>
      <c r="Q31" s="1304">
        <f t="shared" si="8"/>
        <v>111</v>
      </c>
      <c r="R31" s="631" t="s">
        <v>25</v>
      </c>
      <c r="S31" s="632">
        <f t="shared" si="10"/>
        <v>100</v>
      </c>
      <c r="T31" s="631" t="s">
        <v>25</v>
      </c>
      <c r="U31" s="632">
        <f t="shared" si="11"/>
        <v>100</v>
      </c>
      <c r="V31" s="631" t="s">
        <v>25</v>
      </c>
      <c r="W31" s="632">
        <f t="shared" si="12"/>
        <v>100</v>
      </c>
      <c r="X31" s="1305"/>
      <c r="Y31" s="3682"/>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84" t="s">
        <v>2218</v>
      </c>
      <c r="Q32" s="1304">
        <f t="shared" si="8"/>
        <v>111</v>
      </c>
      <c r="R32" s="631" t="s">
        <v>25</v>
      </c>
      <c r="S32" s="632">
        <f t="shared" si="10"/>
        <v>100</v>
      </c>
      <c r="T32" s="631" t="s">
        <v>25</v>
      </c>
      <c r="U32" s="632">
        <f t="shared" si="11"/>
        <v>100</v>
      </c>
      <c r="V32" s="631" t="s">
        <v>25</v>
      </c>
      <c r="W32" s="632">
        <f t="shared" si="12"/>
        <v>100</v>
      </c>
      <c r="X32" s="1305"/>
      <c r="Y32" s="3685" t="s">
        <v>2218</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85"/>
      <c r="Q33" s="1304">
        <f t="shared" si="8"/>
        <v>111</v>
      </c>
      <c r="R33" s="634" t="s">
        <v>25</v>
      </c>
      <c r="S33" s="635">
        <f t="shared" si="10"/>
        <v>100</v>
      </c>
      <c r="T33" s="634" t="s">
        <v>25</v>
      </c>
      <c r="U33" s="635">
        <f t="shared" si="11"/>
        <v>100</v>
      </c>
      <c r="V33" s="634" t="s">
        <v>25</v>
      </c>
      <c r="W33" s="635">
        <f t="shared" si="12"/>
        <v>100</v>
      </c>
      <c r="X33" s="636"/>
      <c r="Y33" s="3685"/>
      <c r="Z33" s="637">
        <f t="shared" si="13"/>
        <v>111</v>
      </c>
      <c r="AA33" s="1307">
        <f t="shared" si="3"/>
        <v>1</v>
      </c>
      <c r="AB33" s="1307">
        <f t="shared" si="4"/>
        <v>1</v>
      </c>
      <c r="AC33" s="1307">
        <f t="shared" si="5"/>
        <v>1</v>
      </c>
    </row>
    <row r="34" spans="1:29" ht="15">
      <c r="A34" s="360" t="s">
        <v>2216</v>
      </c>
      <c r="B34" s="345" t="s">
        <v>2392</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85"/>
      <c r="Q34" s="1304" t="str">
        <f>B34</f>
        <v>宗地面积</v>
      </c>
      <c r="R34" s="631" t="s">
        <v>25</v>
      </c>
      <c r="S34" s="632" t="e">
        <f t="shared" si="10"/>
        <v>#N/A</v>
      </c>
      <c r="T34" s="631" t="s">
        <v>25</v>
      </c>
      <c r="U34" s="632" t="e">
        <f t="shared" si="11"/>
        <v>#N/A</v>
      </c>
      <c r="V34" s="631" t="s">
        <v>25</v>
      </c>
      <c r="W34" s="632" t="e">
        <f t="shared" si="12"/>
        <v>#N/A</v>
      </c>
      <c r="X34" s="1305"/>
      <c r="Y34" s="3685"/>
      <c r="Z34" s="1306" t="str">
        <f t="shared" si="13"/>
        <v>宗地面积</v>
      </c>
      <c r="AA34" s="1307" t="e">
        <f t="shared" si="3"/>
        <v>#N/A</v>
      </c>
      <c r="AB34" s="1307" t="e">
        <f t="shared" si="4"/>
        <v>#N/A</v>
      </c>
      <c r="AC34" s="1307" t="e">
        <f t="shared" si="5"/>
        <v>#N/A</v>
      </c>
    </row>
    <row r="35" spans="1:29" ht="15">
      <c r="A35" s="360"/>
      <c r="B35" s="313" t="s">
        <v>2393</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85"/>
      <c r="Q35" s="1304" t="str">
        <f t="shared" ref="Q35:Q40" si="14">B35</f>
        <v>宗地形状</v>
      </c>
      <c r="R35" s="631" t="s">
        <v>25</v>
      </c>
      <c r="S35" s="632">
        <f t="shared" si="10"/>
        <v>100</v>
      </c>
      <c r="T35" s="631" t="s">
        <v>25</v>
      </c>
      <c r="U35" s="632">
        <f t="shared" si="11"/>
        <v>100</v>
      </c>
      <c r="V35" s="631" t="s">
        <v>25</v>
      </c>
      <c r="W35" s="632">
        <f t="shared" si="12"/>
        <v>100</v>
      </c>
      <c r="X35" s="1305"/>
      <c r="Y35" s="3685"/>
      <c r="Z35" s="1306" t="str">
        <f t="shared" si="13"/>
        <v>宗地形状</v>
      </c>
      <c r="AA35" s="1307">
        <f t="shared" si="3"/>
        <v>1</v>
      </c>
      <c r="AB35" s="1307">
        <f t="shared" si="4"/>
        <v>1</v>
      </c>
      <c r="AC35" s="1307">
        <f t="shared" si="5"/>
        <v>1</v>
      </c>
    </row>
    <row r="36" spans="1:29" s="25" customFormat="1" ht="15">
      <c r="A36" s="361"/>
      <c r="B36" s="313" t="s">
        <v>2395</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85"/>
      <c r="Q36" s="1304" t="str">
        <f t="shared" si="14"/>
        <v>宗地开发程度</v>
      </c>
      <c r="R36" s="627" t="s">
        <v>25</v>
      </c>
      <c r="S36" s="628">
        <f t="shared" si="10"/>
        <v>100</v>
      </c>
      <c r="T36" s="627" t="s">
        <v>25</v>
      </c>
      <c r="U36" s="628">
        <f t="shared" si="11"/>
        <v>100</v>
      </c>
      <c r="V36" s="627" t="s">
        <v>25</v>
      </c>
      <c r="W36" s="628">
        <f t="shared" si="12"/>
        <v>100</v>
      </c>
      <c r="X36" s="629"/>
      <c r="Y36" s="3685"/>
      <c r="Z36" s="19" t="str">
        <f t="shared" si="13"/>
        <v>宗地开发程度</v>
      </c>
      <c r="AA36" s="630">
        <f t="shared" si="3"/>
        <v>1</v>
      </c>
      <c r="AB36" s="630">
        <f t="shared" si="4"/>
        <v>1</v>
      </c>
      <c r="AC36" s="630">
        <f t="shared" si="5"/>
        <v>1</v>
      </c>
    </row>
    <row r="37" spans="1:29" ht="15">
      <c r="A37" s="360"/>
      <c r="B37" s="313" t="s">
        <v>2396</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85" t="s">
        <v>2218</v>
      </c>
      <c r="Q37" s="1304" t="str">
        <f t="shared" si="14"/>
        <v>工程地质条件</v>
      </c>
      <c r="R37" s="631" t="s">
        <v>25</v>
      </c>
      <c r="S37" s="632">
        <f t="shared" si="10"/>
        <v>100</v>
      </c>
      <c r="T37" s="631" t="s">
        <v>25</v>
      </c>
      <c r="U37" s="632">
        <f t="shared" si="11"/>
        <v>100</v>
      </c>
      <c r="V37" s="631" t="s">
        <v>25</v>
      </c>
      <c r="W37" s="632">
        <f t="shared" si="12"/>
        <v>100</v>
      </c>
      <c r="X37" s="1305"/>
      <c r="Y37" s="3685" t="s">
        <v>2218</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85"/>
      <c r="Q38" s="1304">
        <f t="shared" si="14"/>
        <v>111</v>
      </c>
      <c r="R38" s="631" t="s">
        <v>25</v>
      </c>
      <c r="S38" s="632">
        <f t="shared" si="10"/>
        <v>100</v>
      </c>
      <c r="T38" s="631" t="s">
        <v>25</v>
      </c>
      <c r="U38" s="632">
        <f t="shared" si="11"/>
        <v>100</v>
      </c>
      <c r="V38" s="631" t="s">
        <v>25</v>
      </c>
      <c r="W38" s="632">
        <f t="shared" si="12"/>
        <v>100</v>
      </c>
      <c r="X38" s="1305"/>
      <c r="Y38" s="3685"/>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85"/>
      <c r="Q39" s="1304">
        <f t="shared" si="14"/>
        <v>111</v>
      </c>
      <c r="R39" s="631" t="s">
        <v>25</v>
      </c>
      <c r="S39" s="632">
        <f t="shared" si="10"/>
        <v>100</v>
      </c>
      <c r="T39" s="631" t="s">
        <v>25</v>
      </c>
      <c r="U39" s="632">
        <f t="shared" si="11"/>
        <v>100</v>
      </c>
      <c r="V39" s="631" t="s">
        <v>25</v>
      </c>
      <c r="W39" s="632">
        <f t="shared" si="12"/>
        <v>100</v>
      </c>
      <c r="X39" s="1305"/>
      <c r="Y39" s="3685"/>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85"/>
      <c r="Q40" s="1304">
        <f t="shared" si="14"/>
        <v>111</v>
      </c>
      <c r="R40" s="634" t="s">
        <v>25</v>
      </c>
      <c r="S40" s="635">
        <f t="shared" si="10"/>
        <v>100</v>
      </c>
      <c r="T40" s="634" t="s">
        <v>25</v>
      </c>
      <c r="U40" s="635">
        <f t="shared" si="11"/>
        <v>100</v>
      </c>
      <c r="V40" s="634" t="s">
        <v>25</v>
      </c>
      <c r="W40" s="635">
        <f t="shared" si="12"/>
        <v>100</v>
      </c>
      <c r="X40" s="636"/>
      <c r="Y40" s="3685"/>
      <c r="Z40" s="637">
        <f t="shared" si="13"/>
        <v>111</v>
      </c>
      <c r="AA40" s="1307">
        <f t="shared" si="3"/>
        <v>1</v>
      </c>
      <c r="AB40" s="1307">
        <f t="shared" si="4"/>
        <v>1</v>
      </c>
      <c r="AC40" s="1307">
        <f t="shared" si="5"/>
        <v>1</v>
      </c>
    </row>
    <row r="41" spans="1:29" ht="15">
      <c r="A41" s="367" t="s">
        <v>2360</v>
      </c>
      <c r="B41" s="1561" t="s">
        <v>2435</v>
      </c>
      <c r="C41" s="562" t="s">
        <v>1</v>
      </c>
      <c r="D41" s="369"/>
      <c r="E41" s="370"/>
      <c r="F41" s="371"/>
      <c r="G41" s="372"/>
      <c r="H41" s="373"/>
      <c r="I41" s="370"/>
      <c r="J41" s="373"/>
      <c r="K41" s="640"/>
      <c r="L41" s="3007"/>
      <c r="M41" s="2996"/>
      <c r="N41" s="2996"/>
      <c r="P41" s="3653" t="str">
        <f>A41</f>
        <v>成交单价</v>
      </c>
      <c r="Q41" s="3653"/>
      <c r="R41" s="3677">
        <f>E41</f>
        <v>0</v>
      </c>
      <c r="S41" s="3677"/>
      <c r="T41" s="3677">
        <f>G41</f>
        <v>0</v>
      </c>
      <c r="U41" s="3677"/>
      <c r="V41" s="3677">
        <f>I41</f>
        <v>0</v>
      </c>
      <c r="W41" s="3677"/>
      <c r="X41" s="618"/>
      <c r="Y41" s="638"/>
      <c r="Z41" s="618"/>
      <c r="AA41" s="618"/>
      <c r="AB41" s="618"/>
      <c r="AC41" s="618"/>
    </row>
    <row r="42" spans="1:29" ht="15.75" thickBot="1">
      <c r="A42" s="374" t="s">
        <v>2313</v>
      </c>
      <c r="B42" s="563"/>
      <c r="C42" s="377" t="e">
        <f>R43</f>
        <v>#DIV/0!</v>
      </c>
      <c r="D42" s="1767" t="s">
        <v>2687</v>
      </c>
      <c r="E42" s="377" t="e">
        <f>R42</f>
        <v>#DIV/0!</v>
      </c>
      <c r="F42" s="1769"/>
      <c r="G42" s="376" t="e">
        <f>T42</f>
        <v>#DIV/0!</v>
      </c>
      <c r="H42" s="1769"/>
      <c r="I42" s="377" t="e">
        <f>V42</f>
        <v>#DIV/0!</v>
      </c>
      <c r="J42" s="1769"/>
      <c r="K42" s="2481">
        <f>F42+H42+J42</f>
        <v>0</v>
      </c>
      <c r="L42" s="3007"/>
      <c r="M42" s="2996"/>
      <c r="N42" s="2996"/>
      <c r="P42" s="3653" t="str">
        <f>A42</f>
        <v>比较价值（元/平方米）</v>
      </c>
      <c r="Q42" s="3653"/>
      <c r="R42" s="3694" t="e">
        <f>ROUND(PRODUCT(R41,AA7:AA40),0)</f>
        <v>#DIV/0!</v>
      </c>
      <c r="S42" s="3694"/>
      <c r="T42" s="3694" t="e">
        <f>ROUND(PRODUCT(T41,AB7:AB40),0)</f>
        <v>#DIV/0!</v>
      </c>
      <c r="U42" s="3694"/>
      <c r="V42" s="3694" t="e">
        <f>ROUND(PRODUCT(V41,AC7:AC40),0)</f>
        <v>#DIV/0!</v>
      </c>
      <c r="W42" s="3694"/>
      <c r="X42" s="618"/>
      <c r="Y42" s="618"/>
      <c r="Z42" s="618"/>
      <c r="AA42" s="618"/>
      <c r="AB42" s="618"/>
      <c r="AC42" s="618"/>
    </row>
    <row r="43" spans="1:29" ht="15.75" thickBot="1">
      <c r="A43" s="378" t="s">
        <v>2336</v>
      </c>
      <c r="B43" s="379"/>
      <c r="C43" s="380" t="e">
        <f>R43</f>
        <v>#DIV/0!</v>
      </c>
      <c r="D43" s="380"/>
      <c r="E43" s="380"/>
      <c r="F43" s="380"/>
      <c r="G43" s="380"/>
      <c r="H43" s="380"/>
      <c r="I43" s="380"/>
      <c r="J43" s="380"/>
      <c r="K43" s="641"/>
      <c r="L43" s="3007"/>
      <c r="M43" s="2996"/>
      <c r="N43" s="2996"/>
      <c r="P43" s="3688" t="str">
        <f>A43</f>
        <v>估价对象XX用房的比较价值（楼面单价，元/平方米）</v>
      </c>
      <c r="Q43" s="3689"/>
      <c r="R43" s="3693" t="e">
        <f>ROUND(IF(D42="简单平均",AVERAGE(R42:W42),R42*F42+T42*H42+V42*J42),0)</f>
        <v>#DIV/0!</v>
      </c>
      <c r="S43" s="3693"/>
      <c r="T43" s="3693"/>
      <c r="U43" s="3693"/>
      <c r="V43" s="3693"/>
      <c r="W43" s="3693"/>
      <c r="X43" s="618"/>
      <c r="Y43" s="618"/>
      <c r="Z43" s="618"/>
      <c r="AA43" s="618"/>
      <c r="AB43" s="618"/>
      <c r="AC43" s="618"/>
    </row>
    <row r="44" spans="1:29">
      <c r="G44" s="3010"/>
      <c r="M44" s="2996"/>
      <c r="N44" s="2996"/>
    </row>
    <row r="45" spans="1:29">
      <c r="M45" s="2996"/>
      <c r="N45" s="2996"/>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2398</v>
      </c>
      <c r="B50" s="565" t="s">
        <v>2399</v>
      </c>
      <c r="C50" s="1562" t="s">
        <v>2400</v>
      </c>
      <c r="D50" s="1563" t="s">
        <v>2401</v>
      </c>
      <c r="E50" s="566" t="s">
        <v>2402</v>
      </c>
      <c r="F50" s="567" t="s">
        <v>2403</v>
      </c>
      <c r="G50" s="1306" t="s">
        <v>2436</v>
      </c>
      <c r="H50" s="1306" t="str">
        <f>项目基本情况!G8</f>
        <v>XX</v>
      </c>
      <c r="I50" s="1280" t="s">
        <v>2405</v>
      </c>
      <c r="J50" s="958"/>
      <c r="K50" s="956"/>
    </row>
    <row r="51" spans="1:17" s="572" customFormat="1">
      <c r="A51" s="568" t="s">
        <v>2406</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2407</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2408</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2409</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2410</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2411</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2412</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2413</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2414</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2415</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2416</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2021-12-1</v>
      </c>
      <c r="D63" s="1153">
        <f>EDATE(C63,-3)</f>
        <v>44440</v>
      </c>
      <c r="E63" s="1153">
        <f t="shared" ref="E63:O63" si="18">EDATE(D63,-3)</f>
        <v>44348</v>
      </c>
      <c r="F63" s="1153">
        <f t="shared" si="18"/>
        <v>44256</v>
      </c>
      <c r="G63" s="1153">
        <f t="shared" si="18"/>
        <v>44166</v>
      </c>
      <c r="H63" s="1153">
        <f t="shared" si="18"/>
        <v>44075</v>
      </c>
      <c r="I63" s="1153">
        <f t="shared" si="18"/>
        <v>43983</v>
      </c>
      <c r="J63" s="1153">
        <f t="shared" si="18"/>
        <v>43891</v>
      </c>
      <c r="K63" s="1153">
        <f t="shared" si="18"/>
        <v>43800</v>
      </c>
      <c r="L63" s="1153">
        <f t="shared" si="18"/>
        <v>43709</v>
      </c>
      <c r="M63" s="1153">
        <f t="shared" si="18"/>
        <v>43617</v>
      </c>
      <c r="N63" s="1153">
        <f t="shared" si="18"/>
        <v>43525</v>
      </c>
      <c r="O63" s="1153">
        <f t="shared" si="18"/>
        <v>43435</v>
      </c>
    </row>
    <row r="64" spans="1:17" ht="21.75" thickBot="1">
      <c r="A64" s="620" t="s">
        <v>2318</v>
      </c>
      <c r="B64" s="618"/>
      <c r="C64" s="621"/>
      <c r="D64" s="621"/>
      <c r="E64" s="621"/>
      <c r="F64" s="622"/>
      <c r="G64" s="622"/>
      <c r="H64" s="621"/>
      <c r="I64" s="963"/>
      <c r="J64" s="963"/>
      <c r="K64" s="961"/>
      <c r="L64" s="962"/>
      <c r="M64" s="963"/>
      <c r="N64" s="963"/>
      <c r="O64" s="963"/>
      <c r="P64" s="389"/>
      <c r="Q64" s="390"/>
    </row>
    <row r="65" spans="1:17" s="394" customFormat="1" ht="15">
      <c r="A65" s="1565" t="s">
        <v>2417</v>
      </c>
      <c r="B65" s="1097"/>
      <c r="C65" s="1154" t="str">
        <f>YEAR(C63)&amp;"-"&amp;ROUNDUP(MONTH(C63)/3,0)</f>
        <v>2021-4</v>
      </c>
      <c r="D65" s="1154" t="str">
        <f t="shared" ref="D65:O65" si="19">YEAR(D63)&amp;"-"&amp;ROUNDUP(MONTH(D63)/3,0)</f>
        <v>2021-3</v>
      </c>
      <c r="E65" s="1154" t="str">
        <f t="shared" si="19"/>
        <v>2021-2</v>
      </c>
      <c r="F65" s="1154" t="str">
        <f t="shared" si="19"/>
        <v>2021-1</v>
      </c>
      <c r="G65" s="1154" t="str">
        <f t="shared" si="19"/>
        <v>2020-4</v>
      </c>
      <c r="H65" s="1154" t="str">
        <f t="shared" si="19"/>
        <v>2020-3</v>
      </c>
      <c r="I65" s="1154" t="str">
        <f t="shared" si="19"/>
        <v>2020-2</v>
      </c>
      <c r="J65" s="1154" t="str">
        <f t="shared" si="19"/>
        <v>2020-1</v>
      </c>
      <c r="K65" s="1154" t="str">
        <f t="shared" si="19"/>
        <v>2019-4</v>
      </c>
      <c r="L65" s="1154" t="str">
        <f t="shared" si="19"/>
        <v>2019-3</v>
      </c>
      <c r="M65" s="1154" t="str">
        <f t="shared" si="19"/>
        <v>2019-2</v>
      </c>
      <c r="N65" s="1154" t="str">
        <f t="shared" si="19"/>
        <v>2019-1</v>
      </c>
      <c r="O65" s="1154" t="str">
        <f t="shared" si="19"/>
        <v>2018-4</v>
      </c>
      <c r="P65" s="393"/>
    </row>
    <row r="66" spans="1:17" s="25" customFormat="1" ht="33.75" customHeight="1">
      <c r="A66" s="1570" t="s">
        <v>2437</v>
      </c>
      <c r="B66" s="200" t="str">
        <f>"北京市平均增长率"&amp;TEXT(基准地价修正!P24,"0.00%")</f>
        <v>北京市平均增长率1.22%</v>
      </c>
      <c r="C66" s="491">
        <v>100</v>
      </c>
      <c r="D66" s="483"/>
      <c r="E66" s="483"/>
      <c r="F66" s="483"/>
      <c r="G66" s="483"/>
      <c r="H66" s="483"/>
      <c r="I66" s="483"/>
      <c r="J66" s="483"/>
      <c r="K66" s="483"/>
      <c r="L66" s="483"/>
      <c r="M66" s="1152"/>
      <c r="N66" s="483"/>
      <c r="O66" s="1155"/>
      <c r="P66" s="390"/>
    </row>
    <row r="67" spans="1:17" s="25" customFormat="1" ht="15.75" thickBot="1">
      <c r="A67" s="400" t="s">
        <v>2238</v>
      </c>
      <c r="B67" s="401"/>
      <c r="C67" s="402"/>
      <c r="D67" s="403"/>
      <c r="E67" s="403"/>
      <c r="F67" s="403"/>
      <c r="G67" s="403"/>
      <c r="H67" s="403"/>
      <c r="I67" s="403"/>
      <c r="J67" s="403"/>
      <c r="K67" s="403"/>
      <c r="L67" s="403"/>
      <c r="M67" s="404"/>
      <c r="N67" s="403"/>
      <c r="O67" s="1156"/>
      <c r="P67" s="390"/>
      <c r="Q67" s="390"/>
    </row>
    <row r="68" spans="1:17" s="25" customFormat="1" ht="15">
      <c r="A68" s="406" t="s">
        <v>2202</v>
      </c>
      <c r="B68" s="396"/>
      <c r="C68" s="407" t="s">
        <v>2203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2241</v>
      </c>
      <c r="B70" s="413" t="s">
        <v>2206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2209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2211</v>
      </c>
      <c r="B83" s="413" t="s">
        <v>2345</v>
      </c>
      <c r="C83" s="461" t="s">
        <v>2250</v>
      </c>
      <c r="D83" s="461" t="s">
        <v>2251</v>
      </c>
      <c r="E83" s="461" t="s">
        <v>2252</v>
      </c>
      <c r="F83" s="461" t="s">
        <v>2253</v>
      </c>
      <c r="G83" s="461" t="s">
        <v>2254</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2255</v>
      </c>
      <c r="C85" s="466" t="s">
        <v>2250</v>
      </c>
      <c r="D85" s="466" t="s">
        <v>2251</v>
      </c>
      <c r="E85" s="466" t="s">
        <v>2252</v>
      </c>
      <c r="F85" s="466" t="s">
        <v>2253</v>
      </c>
      <c r="G85" s="466" t="s">
        <v>2254</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2420</v>
      </c>
      <c r="C87" s="461" t="s">
        <v>2250</v>
      </c>
      <c r="D87" s="461" t="s">
        <v>2251</v>
      </c>
      <c r="E87" s="461" t="s">
        <v>2252</v>
      </c>
      <c r="F87" s="461" t="s">
        <v>2253</v>
      </c>
      <c r="G87" s="461" t="s">
        <v>2254</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2421</v>
      </c>
      <c r="C89" s="461" t="s">
        <v>2250</v>
      </c>
      <c r="D89" s="461" t="s">
        <v>2251</v>
      </c>
      <c r="E89" s="461" t="s">
        <v>2252</v>
      </c>
      <c r="F89" s="461" t="s">
        <v>2253</v>
      </c>
      <c r="G89" s="461" t="s">
        <v>2254</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2298</v>
      </c>
      <c r="C91" s="461" t="s">
        <v>2250</v>
      </c>
      <c r="D91" s="461" t="s">
        <v>2251</v>
      </c>
      <c r="E91" s="461" t="s">
        <v>2252</v>
      </c>
      <c r="F91" s="461" t="s">
        <v>2253</v>
      </c>
      <c r="G91" s="461" t="s">
        <v>2254</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2299</v>
      </c>
      <c r="C93" s="426" t="s">
        <v>2257</v>
      </c>
      <c r="D93" s="426" t="s">
        <v>2258</v>
      </c>
      <c r="E93" s="426" t="s">
        <v>2259</v>
      </c>
      <c r="F93" s="426" t="s">
        <v>2260</v>
      </c>
      <c r="G93" s="426" t="s">
        <v>2261</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2422</v>
      </c>
      <c r="D95" s="426" t="s">
        <v>2423</v>
      </c>
      <c r="E95" s="426" t="s">
        <v>2424</v>
      </c>
      <c r="F95" s="426" t="s">
        <v>2425</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2330</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2391</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2216</v>
      </c>
      <c r="B107" s="413" t="s">
        <v>2426</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2427</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2429</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2430</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695" t="s">
        <v>779</v>
      </c>
      <c r="B1" s="3695"/>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0.12</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95" t="s">
        <v>105</v>
      </c>
      <c r="B1" s="3695"/>
      <c r="C1" s="3695"/>
      <c r="D1" s="3695"/>
      <c r="E1" s="3695"/>
      <c r="F1" s="369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96" t="s">
        <v>118</v>
      </c>
      <c r="B2" s="3696"/>
      <c r="C2" s="3696"/>
      <c r="D2" s="3696"/>
      <c r="E2" s="3696"/>
      <c r="F2" s="369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9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9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9160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699" t="s">
        <v>132</v>
      </c>
      <c r="B18" s="768" t="s">
        <v>517</v>
      </c>
      <c r="C18" s="769" t="s">
        <v>518</v>
      </c>
      <c r="D18" s="770"/>
      <c r="E18" s="768">
        <v>1</v>
      </c>
      <c r="F18" s="771" t="s">
        <v>519</v>
      </c>
      <c r="G18" s="772"/>
      <c r="H18" s="764"/>
      <c r="I18" s="764"/>
    </row>
    <row r="19" spans="1:9" s="773" customFormat="1" ht="19.5" customHeight="1">
      <c r="A19" s="3699"/>
      <c r="B19" s="3699" t="s">
        <v>520</v>
      </c>
      <c r="C19" s="769" t="s">
        <v>521</v>
      </c>
      <c r="D19" s="770"/>
      <c r="E19" s="768">
        <v>0.9</v>
      </c>
      <c r="F19" s="771" t="s">
        <v>522</v>
      </c>
      <c r="G19" s="772"/>
      <c r="H19" s="764"/>
      <c r="I19" s="764"/>
    </row>
    <row r="20" spans="1:9" s="773" customFormat="1" ht="19.5" customHeight="1">
      <c r="A20" s="3699"/>
      <c r="B20" s="3699"/>
      <c r="C20" s="769" t="s">
        <v>523</v>
      </c>
      <c r="D20" s="770"/>
      <c r="E20" s="768">
        <v>1.1000000000000001</v>
      </c>
      <c r="F20" s="771" t="s">
        <v>524</v>
      </c>
      <c r="G20" s="772"/>
      <c r="H20" s="764"/>
      <c r="I20" s="764"/>
    </row>
    <row r="21" spans="1:9" s="773" customFormat="1" ht="19.5" customHeight="1">
      <c r="A21" s="3699"/>
      <c r="B21" s="3699"/>
      <c r="C21" s="769" t="s">
        <v>525</v>
      </c>
      <c r="D21" s="770"/>
      <c r="E21" s="768">
        <v>0.8</v>
      </c>
      <c r="F21" s="771" t="s">
        <v>526</v>
      </c>
      <c r="G21" s="772"/>
      <c r="H21" s="764"/>
      <c r="I21" s="764"/>
    </row>
    <row r="22" spans="1:9" s="773" customFormat="1" ht="19.5" customHeight="1">
      <c r="A22" s="3699"/>
      <c r="B22" s="3699"/>
      <c r="C22" s="769" t="s">
        <v>527</v>
      </c>
      <c r="D22" s="770"/>
      <c r="E22" s="768">
        <v>0.5</v>
      </c>
      <c r="F22" s="771"/>
      <c r="G22" s="772"/>
      <c r="H22" s="764"/>
      <c r="I22" s="764"/>
    </row>
    <row r="23" spans="1:9" s="773" customFormat="1" ht="19.5" customHeight="1">
      <c r="A23" s="3699" t="s">
        <v>133</v>
      </c>
      <c r="B23" s="768" t="s">
        <v>517</v>
      </c>
      <c r="C23" s="769" t="s">
        <v>528</v>
      </c>
      <c r="D23" s="770"/>
      <c r="E23" s="768">
        <v>1</v>
      </c>
      <c r="F23" s="771" t="s">
        <v>529</v>
      </c>
      <c r="G23" s="772"/>
      <c r="H23" s="764"/>
      <c r="I23" s="764"/>
    </row>
    <row r="24" spans="1:9" s="773" customFormat="1" ht="19.5" customHeight="1">
      <c r="A24" s="3699"/>
      <c r="B24" s="3699" t="s">
        <v>520</v>
      </c>
      <c r="C24" s="769" t="s">
        <v>530</v>
      </c>
      <c r="D24" s="770"/>
      <c r="E24" s="768">
        <v>0.5</v>
      </c>
      <c r="F24" s="771"/>
      <c r="G24" s="772"/>
      <c r="H24" s="764"/>
      <c r="I24" s="764"/>
    </row>
    <row r="25" spans="1:9" s="773" customFormat="1" ht="19.5" customHeight="1">
      <c r="A25" s="3699"/>
      <c r="B25" s="3699"/>
      <c r="C25" s="769" t="s">
        <v>531</v>
      </c>
      <c r="D25" s="770"/>
      <c r="E25" s="768">
        <v>1.1000000000000001</v>
      </c>
      <c r="F25" s="771"/>
      <c r="G25" s="772"/>
      <c r="H25" s="764"/>
      <c r="I25" s="764"/>
    </row>
    <row r="26" spans="1:9" s="773" customFormat="1" ht="19.5" customHeight="1">
      <c r="A26" s="3699"/>
      <c r="B26" s="3699"/>
      <c r="C26" s="769" t="s">
        <v>532</v>
      </c>
      <c r="D26" s="770"/>
      <c r="E26" s="768">
        <v>1.1000000000000001</v>
      </c>
      <c r="F26" s="771"/>
      <c r="G26" s="772"/>
      <c r="H26" s="764"/>
      <c r="I26" s="764"/>
    </row>
    <row r="27" spans="1:9" s="773" customFormat="1" ht="19.5" customHeight="1">
      <c r="A27" s="3699"/>
      <c r="B27" s="3699"/>
      <c r="C27" s="769" t="s">
        <v>533</v>
      </c>
      <c r="D27" s="770"/>
      <c r="E27" s="768">
        <v>0.9</v>
      </c>
      <c r="F27" s="771" t="s">
        <v>534</v>
      </c>
      <c r="G27" s="772"/>
      <c r="H27" s="764"/>
      <c r="I27" s="764"/>
    </row>
    <row r="28" spans="1:9" s="773" customFormat="1" ht="19.5" customHeight="1">
      <c r="A28" s="3699"/>
      <c r="B28" s="3699"/>
      <c r="C28" s="769" t="s">
        <v>535</v>
      </c>
      <c r="D28" s="770"/>
      <c r="E28" s="768">
        <v>0.9</v>
      </c>
      <c r="F28" s="771" t="s">
        <v>536</v>
      </c>
      <c r="G28" s="772"/>
      <c r="H28" s="764"/>
      <c r="I28" s="764"/>
    </row>
    <row r="29" spans="1:9" s="773" customFormat="1" ht="19.5" customHeight="1">
      <c r="A29" s="3699"/>
      <c r="B29" s="3699"/>
      <c r="C29" s="769" t="s">
        <v>537</v>
      </c>
      <c r="D29" s="770"/>
      <c r="E29" s="768">
        <v>0.9</v>
      </c>
      <c r="F29" s="771" t="s">
        <v>538</v>
      </c>
      <c r="G29" s="772"/>
      <c r="H29" s="764"/>
      <c r="I29" s="764"/>
    </row>
    <row r="30" spans="1:9" s="773" customFormat="1" ht="19.5" customHeight="1">
      <c r="A30" s="3699"/>
      <c r="B30" s="3699"/>
      <c r="C30" s="769" t="s">
        <v>539</v>
      </c>
      <c r="D30" s="770"/>
      <c r="E30" s="768">
        <v>0.9</v>
      </c>
      <c r="F30" s="771" t="s">
        <v>540</v>
      </c>
      <c r="G30" s="772"/>
      <c r="H30" s="764"/>
      <c r="I30" s="764"/>
    </row>
    <row r="31" spans="1:9" s="773" customFormat="1" ht="19.5" customHeight="1">
      <c r="A31" s="3699"/>
      <c r="B31" s="3699"/>
      <c r="C31" s="769" t="s">
        <v>541</v>
      </c>
      <c r="D31" s="770"/>
      <c r="E31" s="768">
        <v>0.8</v>
      </c>
      <c r="F31" s="771" t="s">
        <v>542</v>
      </c>
      <c r="G31" s="772"/>
      <c r="H31" s="764"/>
      <c r="I31" s="764"/>
    </row>
    <row r="32" spans="1:9" s="773" customFormat="1" ht="19.5" customHeight="1">
      <c r="A32" s="3699"/>
      <c r="B32" s="3699"/>
      <c r="C32" s="769" t="s">
        <v>543</v>
      </c>
      <c r="D32" s="770"/>
      <c r="E32" s="768">
        <v>0.8</v>
      </c>
      <c r="F32" s="771" t="s">
        <v>544</v>
      </c>
      <c r="G32" s="772"/>
      <c r="H32" s="764"/>
      <c r="I32" s="764"/>
    </row>
    <row r="33" spans="1:9" s="773" customFormat="1" ht="19.5" customHeight="1">
      <c r="A33" s="3699" t="s">
        <v>134</v>
      </c>
      <c r="B33" s="768" t="s">
        <v>517</v>
      </c>
      <c r="C33" s="769" t="s">
        <v>545</v>
      </c>
      <c r="D33" s="770"/>
      <c r="E33" s="768">
        <v>1</v>
      </c>
      <c r="F33" s="771" t="s">
        <v>546</v>
      </c>
      <c r="G33" s="772"/>
      <c r="H33" s="764"/>
      <c r="I33" s="764"/>
    </row>
    <row r="34" spans="1:9" s="773" customFormat="1" ht="19.5" customHeight="1">
      <c r="A34" s="3699"/>
      <c r="B34" s="768" t="s">
        <v>520</v>
      </c>
      <c r="C34" s="769" t="s">
        <v>547</v>
      </c>
      <c r="D34" s="770"/>
      <c r="E34" s="768">
        <v>1.5</v>
      </c>
      <c r="F34" s="771" t="s">
        <v>548</v>
      </c>
      <c r="G34" s="772"/>
      <c r="H34" s="764"/>
      <c r="I34" s="764"/>
    </row>
    <row r="35" spans="1:9" s="773" customFormat="1" ht="19.5" customHeight="1">
      <c r="A35" s="3699" t="s">
        <v>135</v>
      </c>
      <c r="B35" s="768" t="s">
        <v>517</v>
      </c>
      <c r="C35" s="769" t="s">
        <v>549</v>
      </c>
      <c r="D35" s="770"/>
      <c r="E35" s="768">
        <v>1</v>
      </c>
      <c r="F35" s="771" t="s">
        <v>550</v>
      </c>
      <c r="G35" s="772"/>
      <c r="H35" s="764"/>
      <c r="I35" s="764"/>
    </row>
    <row r="36" spans="1:9" s="773" customFormat="1" ht="19.5" customHeight="1">
      <c r="A36" s="3699"/>
      <c r="B36" s="3699" t="s">
        <v>520</v>
      </c>
      <c r="C36" s="769" t="s">
        <v>551</v>
      </c>
      <c r="D36" s="770"/>
      <c r="E36" s="768">
        <v>1</v>
      </c>
      <c r="F36" s="771" t="s">
        <v>552</v>
      </c>
      <c r="G36" s="772"/>
      <c r="H36" s="764"/>
      <c r="I36" s="764"/>
    </row>
    <row r="37" spans="1:9" s="773" customFormat="1" ht="19.5" customHeight="1">
      <c r="A37" s="3699"/>
      <c r="B37" s="3699"/>
      <c r="C37" s="769" t="s">
        <v>553</v>
      </c>
      <c r="D37" s="770"/>
      <c r="E37" s="768">
        <v>1.5</v>
      </c>
      <c r="F37" s="771" t="s">
        <v>554</v>
      </c>
      <c r="G37" s="772"/>
      <c r="H37" s="764"/>
      <c r="I37" s="764"/>
    </row>
    <row r="38" spans="1:9" s="773" customFormat="1" ht="19.5" customHeight="1">
      <c r="A38" s="3699"/>
      <c r="B38" s="3699"/>
      <c r="C38" s="769" t="s">
        <v>555</v>
      </c>
      <c r="D38" s="770"/>
      <c r="E38" s="768">
        <v>1</v>
      </c>
      <c r="F38" s="771" t="s">
        <v>556</v>
      </c>
      <c r="G38" s="772"/>
      <c r="H38" s="764"/>
      <c r="I38" s="764"/>
    </row>
    <row r="39" spans="1:9" s="773" customFormat="1" ht="19.5" customHeight="1">
      <c r="A39" s="3699"/>
      <c r="B39" s="369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699" t="s">
        <v>571</v>
      </c>
      <c r="C61" s="682" t="s">
        <v>572</v>
      </c>
      <c r="D61" s="682" t="s">
        <v>573</v>
      </c>
      <c r="E61" s="781">
        <v>0.5</v>
      </c>
      <c r="F61" s="768">
        <v>80</v>
      </c>
    </row>
    <row r="62" spans="1:8" s="764" customFormat="1" ht="24">
      <c r="A62" s="768">
        <v>2</v>
      </c>
      <c r="B62" s="3699"/>
      <c r="C62" s="682" t="s">
        <v>574</v>
      </c>
      <c r="D62" s="682" t="s">
        <v>575</v>
      </c>
      <c r="E62" s="781">
        <v>0.5</v>
      </c>
      <c r="F62" s="768">
        <v>80</v>
      </c>
    </row>
    <row r="63" spans="1:8" s="764" customFormat="1" ht="36">
      <c r="A63" s="768">
        <v>3</v>
      </c>
      <c r="B63" s="3699"/>
      <c r="C63" s="682" t="s">
        <v>576</v>
      </c>
      <c r="D63" s="682" t="s">
        <v>577</v>
      </c>
      <c r="E63" s="781">
        <v>0.5</v>
      </c>
      <c r="F63" s="768">
        <v>80</v>
      </c>
    </row>
    <row r="64" spans="1:8" s="764" customFormat="1" ht="36">
      <c r="A64" s="768">
        <v>4</v>
      </c>
      <c r="B64" s="3699"/>
      <c r="C64" s="682" t="s">
        <v>578</v>
      </c>
      <c r="D64" s="682" t="s">
        <v>579</v>
      </c>
      <c r="E64" s="781">
        <v>0.4</v>
      </c>
      <c r="F64" s="768">
        <v>60</v>
      </c>
    </row>
    <row r="65" spans="1:6" s="764" customFormat="1" ht="36">
      <c r="A65" s="768">
        <v>5</v>
      </c>
      <c r="B65" s="3699"/>
      <c r="C65" s="682" t="s">
        <v>580</v>
      </c>
      <c r="D65" s="682" t="s">
        <v>581</v>
      </c>
      <c r="E65" s="781">
        <v>0.2</v>
      </c>
      <c r="F65" s="768">
        <v>30</v>
      </c>
    </row>
    <row r="66" spans="1:6" s="764" customFormat="1" ht="36">
      <c r="A66" s="768">
        <v>6</v>
      </c>
      <c r="B66" s="3699"/>
      <c r="C66" s="682" t="s">
        <v>582</v>
      </c>
      <c r="D66" s="682" t="s">
        <v>583</v>
      </c>
      <c r="E66" s="781">
        <v>0.3</v>
      </c>
      <c r="F66" s="768">
        <v>50</v>
      </c>
    </row>
    <row r="67" spans="1:6" s="764" customFormat="1" ht="36">
      <c r="A67" s="768">
        <v>7</v>
      </c>
      <c r="B67" s="3699"/>
      <c r="C67" s="682" t="s">
        <v>584</v>
      </c>
      <c r="D67" s="682" t="s">
        <v>585</v>
      </c>
      <c r="E67" s="781">
        <v>0.2</v>
      </c>
      <c r="F67" s="768">
        <v>30</v>
      </c>
    </row>
    <row r="68" spans="1:6" s="764" customFormat="1" ht="36">
      <c r="A68" s="768">
        <v>8</v>
      </c>
      <c r="B68" s="3699"/>
      <c r="C68" s="682" t="s">
        <v>586</v>
      </c>
      <c r="D68" s="682" t="s">
        <v>587</v>
      </c>
      <c r="E68" s="781">
        <v>0.2</v>
      </c>
      <c r="F68" s="768">
        <v>30</v>
      </c>
    </row>
    <row r="69" spans="1:6" s="764" customFormat="1" ht="36">
      <c r="A69" s="768">
        <v>9</v>
      </c>
      <c r="B69" s="3699"/>
      <c r="C69" s="682" t="s">
        <v>588</v>
      </c>
      <c r="D69" s="682" t="s">
        <v>589</v>
      </c>
      <c r="E69" s="781">
        <v>0.2</v>
      </c>
      <c r="F69" s="768">
        <v>30</v>
      </c>
    </row>
    <row r="70" spans="1:6" s="764" customFormat="1" ht="48">
      <c r="A70" s="768">
        <v>10</v>
      </c>
      <c r="B70" s="3699"/>
      <c r="C70" s="682" t="s">
        <v>590</v>
      </c>
      <c r="D70" s="682" t="s">
        <v>591</v>
      </c>
      <c r="E70" s="781">
        <v>0.2</v>
      </c>
      <c r="F70" s="768">
        <v>30</v>
      </c>
    </row>
    <row r="71" spans="1:6" s="764" customFormat="1" ht="48">
      <c r="A71" s="768">
        <v>11</v>
      </c>
      <c r="B71" s="3699"/>
      <c r="C71" s="682" t="s">
        <v>592</v>
      </c>
      <c r="D71" s="682" t="s">
        <v>593</v>
      </c>
      <c r="E71" s="781">
        <v>0.2</v>
      </c>
      <c r="F71" s="768">
        <v>30</v>
      </c>
    </row>
    <row r="72" spans="1:6" s="764" customFormat="1" ht="36">
      <c r="A72" s="768">
        <v>12</v>
      </c>
      <c r="B72" s="3699"/>
      <c r="C72" s="682" t="s">
        <v>594</v>
      </c>
      <c r="D72" s="682" t="s">
        <v>595</v>
      </c>
      <c r="E72" s="781">
        <v>0.5</v>
      </c>
      <c r="F72" s="768">
        <v>80</v>
      </c>
    </row>
    <row r="73" spans="1:6" s="764" customFormat="1" ht="24">
      <c r="A73" s="768">
        <v>13</v>
      </c>
      <c r="B73" s="3699"/>
      <c r="C73" s="682" t="s">
        <v>596</v>
      </c>
      <c r="D73" s="682" t="s">
        <v>597</v>
      </c>
      <c r="E73" s="781">
        <v>0.4</v>
      </c>
      <c r="F73" s="768">
        <v>60</v>
      </c>
    </row>
    <row r="74" spans="1:6" s="764" customFormat="1" ht="24">
      <c r="A74" s="768">
        <v>14</v>
      </c>
      <c r="B74" s="3699"/>
      <c r="C74" s="682" t="s">
        <v>598</v>
      </c>
      <c r="D74" s="682" t="s">
        <v>599</v>
      </c>
      <c r="E74" s="781">
        <v>0.2</v>
      </c>
      <c r="F74" s="768">
        <v>30</v>
      </c>
    </row>
    <row r="75" spans="1:6" s="764" customFormat="1" ht="24">
      <c r="A75" s="768">
        <v>15</v>
      </c>
      <c r="B75" s="3699"/>
      <c r="C75" s="682" t="s">
        <v>600</v>
      </c>
      <c r="D75" s="682" t="s">
        <v>601</v>
      </c>
      <c r="E75" s="781">
        <v>0.2</v>
      </c>
      <c r="F75" s="768">
        <v>30</v>
      </c>
    </row>
    <row r="76" spans="1:6" s="764" customFormat="1" ht="24">
      <c r="A76" s="768">
        <v>16</v>
      </c>
      <c r="B76" s="3699" t="s">
        <v>602</v>
      </c>
      <c r="C76" s="682" t="s">
        <v>603</v>
      </c>
      <c r="D76" s="682" t="s">
        <v>604</v>
      </c>
      <c r="E76" s="781">
        <v>0.5</v>
      </c>
      <c r="F76" s="768">
        <v>80</v>
      </c>
    </row>
    <row r="77" spans="1:6" s="764" customFormat="1" ht="24">
      <c r="A77" s="768">
        <v>17</v>
      </c>
      <c r="B77" s="3699"/>
      <c r="C77" s="682" t="s">
        <v>605</v>
      </c>
      <c r="D77" s="682" t="s">
        <v>606</v>
      </c>
      <c r="E77" s="781">
        <v>0.5</v>
      </c>
      <c r="F77" s="768">
        <v>80</v>
      </c>
    </row>
    <row r="78" spans="1:6" s="764" customFormat="1" ht="24">
      <c r="A78" s="768">
        <v>18</v>
      </c>
      <c r="B78" s="3699"/>
      <c r="C78" s="682" t="s">
        <v>607</v>
      </c>
      <c r="D78" s="682" t="s">
        <v>608</v>
      </c>
      <c r="E78" s="781">
        <v>0.2</v>
      </c>
      <c r="F78" s="768">
        <v>30</v>
      </c>
    </row>
    <row r="79" spans="1:6" s="764" customFormat="1" ht="24">
      <c r="A79" s="768">
        <v>19</v>
      </c>
      <c r="B79" s="3699"/>
      <c r="C79" s="682" t="s">
        <v>609</v>
      </c>
      <c r="D79" s="682" t="s">
        <v>610</v>
      </c>
      <c r="E79" s="781">
        <v>0.5</v>
      </c>
      <c r="F79" s="768">
        <v>80</v>
      </c>
    </row>
    <row r="80" spans="1:6" s="764" customFormat="1" ht="36">
      <c r="A80" s="768">
        <v>20</v>
      </c>
      <c r="B80" s="3699"/>
      <c r="C80" s="682" t="s">
        <v>611</v>
      </c>
      <c r="D80" s="682" t="s">
        <v>612</v>
      </c>
      <c r="E80" s="781">
        <v>0.2</v>
      </c>
      <c r="F80" s="768">
        <v>30</v>
      </c>
    </row>
    <row r="81" spans="1:6" s="764" customFormat="1" ht="36">
      <c r="A81" s="768">
        <v>21</v>
      </c>
      <c r="B81" s="3699"/>
      <c r="C81" s="682" t="s">
        <v>613</v>
      </c>
      <c r="D81" s="682" t="s">
        <v>614</v>
      </c>
      <c r="E81" s="781">
        <v>0.2</v>
      </c>
      <c r="F81" s="768">
        <v>30</v>
      </c>
    </row>
    <row r="82" spans="1:6" s="764" customFormat="1" ht="48">
      <c r="A82" s="768">
        <v>22</v>
      </c>
      <c r="B82" s="3699"/>
      <c r="C82" s="682" t="s">
        <v>615</v>
      </c>
      <c r="D82" s="682" t="s">
        <v>616</v>
      </c>
      <c r="E82" s="781">
        <v>0.2</v>
      </c>
      <c r="F82" s="768">
        <v>30</v>
      </c>
    </row>
    <row r="83" spans="1:6" s="764" customFormat="1" ht="48">
      <c r="A83" s="768">
        <v>23</v>
      </c>
      <c r="B83" s="3699"/>
      <c r="C83" s="682" t="s">
        <v>617</v>
      </c>
      <c r="D83" s="682" t="s">
        <v>618</v>
      </c>
      <c r="E83" s="781">
        <v>0.2</v>
      </c>
      <c r="F83" s="768">
        <v>30</v>
      </c>
    </row>
    <row r="84" spans="1:6" s="764" customFormat="1" ht="36">
      <c r="A84" s="768">
        <v>24</v>
      </c>
      <c r="B84" s="3699"/>
      <c r="C84" s="682" t="s">
        <v>619</v>
      </c>
      <c r="D84" s="682" t="s">
        <v>620</v>
      </c>
      <c r="E84" s="781">
        <v>0.2</v>
      </c>
      <c r="F84" s="768">
        <v>30</v>
      </c>
    </row>
    <row r="85" spans="1:6" s="764" customFormat="1" ht="36">
      <c r="A85" s="768">
        <v>25</v>
      </c>
      <c r="B85" s="3699"/>
      <c r="C85" s="682" t="s">
        <v>621</v>
      </c>
      <c r="D85" s="682" t="s">
        <v>622</v>
      </c>
      <c r="E85" s="781">
        <v>0.5</v>
      </c>
      <c r="F85" s="768">
        <v>80</v>
      </c>
    </row>
    <row r="86" spans="1:6" s="764" customFormat="1" ht="36">
      <c r="A86" s="768">
        <v>26</v>
      </c>
      <c r="B86" s="3699"/>
      <c r="C86" s="682" t="s">
        <v>623</v>
      </c>
      <c r="D86" s="682" t="s">
        <v>624</v>
      </c>
      <c r="E86" s="781">
        <v>0.2</v>
      </c>
      <c r="F86" s="768">
        <v>30</v>
      </c>
    </row>
    <row r="87" spans="1:6" s="764" customFormat="1" ht="36">
      <c r="A87" s="768">
        <v>27</v>
      </c>
      <c r="B87" s="3699"/>
      <c r="C87" s="682" t="s">
        <v>625</v>
      </c>
      <c r="D87" s="682" t="s">
        <v>626</v>
      </c>
      <c r="E87" s="781">
        <v>0.2</v>
      </c>
      <c r="F87" s="768">
        <v>30</v>
      </c>
    </row>
    <row r="88" spans="1:6" s="764" customFormat="1" ht="36">
      <c r="A88" s="768">
        <v>28</v>
      </c>
      <c r="B88" s="3699"/>
      <c r="C88" s="682" t="s">
        <v>627</v>
      </c>
      <c r="D88" s="682" t="s">
        <v>628</v>
      </c>
      <c r="E88" s="781">
        <v>0.2</v>
      </c>
      <c r="F88" s="768">
        <v>30</v>
      </c>
    </row>
    <row r="89" spans="1:6" s="764" customFormat="1" ht="24">
      <c r="A89" s="768">
        <v>29</v>
      </c>
      <c r="B89" s="3699"/>
      <c r="C89" s="682" t="s">
        <v>629</v>
      </c>
      <c r="D89" s="682" t="s">
        <v>630</v>
      </c>
      <c r="E89" s="781">
        <v>0.2</v>
      </c>
      <c r="F89" s="768">
        <v>30</v>
      </c>
    </row>
    <row r="90" spans="1:6" s="764" customFormat="1" ht="24">
      <c r="A90" s="768">
        <v>30</v>
      </c>
      <c r="B90" s="3699"/>
      <c r="C90" s="682" t="s">
        <v>631</v>
      </c>
      <c r="D90" s="682" t="s">
        <v>632</v>
      </c>
      <c r="E90" s="781">
        <v>0.2</v>
      </c>
      <c r="F90" s="768">
        <v>30</v>
      </c>
    </row>
    <row r="91" spans="1:6" s="764" customFormat="1" ht="36">
      <c r="A91" s="768">
        <v>31</v>
      </c>
      <c r="B91" s="3699"/>
      <c r="C91" s="682" t="s">
        <v>633</v>
      </c>
      <c r="D91" s="682" t="s">
        <v>634</v>
      </c>
      <c r="E91" s="781">
        <v>0.2</v>
      </c>
      <c r="F91" s="768">
        <v>30</v>
      </c>
    </row>
    <row r="92" spans="1:6" s="764" customFormat="1" ht="24">
      <c r="A92" s="768">
        <v>32</v>
      </c>
      <c r="B92" s="3699" t="s">
        <v>635</v>
      </c>
      <c r="C92" s="768" t="s">
        <v>636</v>
      </c>
      <c r="D92" s="682" t="s">
        <v>637</v>
      </c>
      <c r="E92" s="781">
        <v>0.2</v>
      </c>
      <c r="F92" s="768">
        <v>30</v>
      </c>
    </row>
    <row r="93" spans="1:6" s="764" customFormat="1" ht="36">
      <c r="A93" s="768">
        <v>33</v>
      </c>
      <c r="B93" s="3699"/>
      <c r="C93" s="768" t="s">
        <v>638</v>
      </c>
      <c r="D93" s="682" t="s">
        <v>639</v>
      </c>
      <c r="E93" s="781">
        <v>0.2</v>
      </c>
      <c r="F93" s="768">
        <v>30</v>
      </c>
    </row>
    <row r="94" spans="1:6" s="764" customFormat="1" ht="48">
      <c r="A94" s="768">
        <v>34</v>
      </c>
      <c r="B94" s="3699"/>
      <c r="C94" s="768" t="s">
        <v>640</v>
      </c>
      <c r="D94" s="682" t="s">
        <v>641</v>
      </c>
      <c r="E94" s="781">
        <v>0.2</v>
      </c>
      <c r="F94" s="768">
        <v>30</v>
      </c>
    </row>
    <row r="95" spans="1:6" s="764" customFormat="1" ht="36">
      <c r="A95" s="768">
        <v>35</v>
      </c>
      <c r="B95" s="3699"/>
      <c r="C95" s="768" t="s">
        <v>642</v>
      </c>
      <c r="D95" s="682" t="s">
        <v>643</v>
      </c>
      <c r="E95" s="781">
        <v>0.2</v>
      </c>
      <c r="F95" s="768">
        <v>30</v>
      </c>
    </row>
    <row r="96" spans="1:6" s="764" customFormat="1" ht="48">
      <c r="A96" s="768">
        <v>36</v>
      </c>
      <c r="B96" s="3699"/>
      <c r="C96" s="682" t="s">
        <v>644</v>
      </c>
      <c r="D96" s="682" t="s">
        <v>645</v>
      </c>
      <c r="E96" s="781">
        <v>0.2</v>
      </c>
      <c r="F96" s="768">
        <v>30</v>
      </c>
    </row>
    <row r="97" spans="1:6" s="764" customFormat="1" ht="36">
      <c r="A97" s="768">
        <v>37</v>
      </c>
      <c r="B97" s="3699"/>
      <c r="C97" s="768" t="s">
        <v>646</v>
      </c>
      <c r="D97" s="682" t="s">
        <v>647</v>
      </c>
      <c r="E97" s="781">
        <v>0.2</v>
      </c>
      <c r="F97" s="768">
        <v>30</v>
      </c>
    </row>
    <row r="98" spans="1:6" s="764" customFormat="1" ht="36">
      <c r="A98" s="768">
        <v>38</v>
      </c>
      <c r="B98" s="3699"/>
      <c r="C98" s="768" t="s">
        <v>648</v>
      </c>
      <c r="D98" s="682" t="s">
        <v>649</v>
      </c>
      <c r="E98" s="781">
        <v>0.2</v>
      </c>
      <c r="F98" s="768">
        <v>30</v>
      </c>
    </row>
    <row r="99" spans="1:6" s="764" customFormat="1" ht="36">
      <c r="A99" s="768">
        <v>39</v>
      </c>
      <c r="B99" s="3699" t="s">
        <v>650</v>
      </c>
      <c r="C99" s="768" t="s">
        <v>651</v>
      </c>
      <c r="D99" s="682" t="s">
        <v>652</v>
      </c>
      <c r="E99" s="781">
        <v>0.3</v>
      </c>
      <c r="F99" s="768">
        <v>50</v>
      </c>
    </row>
    <row r="100" spans="1:6" s="764" customFormat="1" ht="24">
      <c r="A100" s="768">
        <v>40</v>
      </c>
      <c r="B100" s="3699"/>
      <c r="C100" s="768" t="s">
        <v>653</v>
      </c>
      <c r="D100" s="682" t="s">
        <v>654</v>
      </c>
      <c r="E100" s="781">
        <v>0.2</v>
      </c>
      <c r="F100" s="768">
        <v>30</v>
      </c>
    </row>
    <row r="101" spans="1:6" s="764" customFormat="1" ht="36">
      <c r="A101" s="768">
        <v>41</v>
      </c>
      <c r="B101" s="3699"/>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699" t="s">
        <v>665</v>
      </c>
      <c r="C105" s="768" t="s">
        <v>666</v>
      </c>
      <c r="D105" s="682" t="s">
        <v>667</v>
      </c>
      <c r="E105" s="781">
        <v>0.2</v>
      </c>
      <c r="F105" s="768">
        <v>30</v>
      </c>
    </row>
    <row r="106" spans="1:6" s="764" customFormat="1" ht="36">
      <c r="A106" s="768">
        <v>46</v>
      </c>
      <c r="B106" s="3699"/>
      <c r="C106" s="768" t="s">
        <v>668</v>
      </c>
      <c r="D106" s="682" t="s">
        <v>669</v>
      </c>
      <c r="E106" s="781">
        <v>0.2</v>
      </c>
      <c r="F106" s="768">
        <v>30</v>
      </c>
    </row>
    <row r="107" spans="1:6" s="764" customFormat="1" ht="36">
      <c r="A107" s="768">
        <v>47</v>
      </c>
      <c r="B107" s="3699" t="s">
        <v>670</v>
      </c>
      <c r="C107" s="768" t="s">
        <v>671</v>
      </c>
      <c r="D107" s="682" t="s">
        <v>672</v>
      </c>
      <c r="E107" s="781">
        <v>0.3</v>
      </c>
      <c r="F107" s="768">
        <v>50</v>
      </c>
    </row>
    <row r="108" spans="1:6" s="764" customFormat="1" ht="36">
      <c r="A108" s="768">
        <v>48</v>
      </c>
      <c r="B108" s="369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699" t="s">
        <v>681</v>
      </c>
      <c r="C111" s="768" t="s">
        <v>682</v>
      </c>
      <c r="D111" s="682" t="s">
        <v>683</v>
      </c>
      <c r="E111" s="781">
        <v>0.2</v>
      </c>
      <c r="F111" s="768">
        <v>30</v>
      </c>
    </row>
    <row r="112" spans="1:6" s="764" customFormat="1" ht="24">
      <c r="A112" s="768">
        <v>52</v>
      </c>
      <c r="B112" s="3699"/>
      <c r="C112" s="768" t="s">
        <v>684</v>
      </c>
      <c r="D112" s="682" t="s">
        <v>685</v>
      </c>
      <c r="E112" s="781">
        <v>0.2</v>
      </c>
      <c r="F112" s="768">
        <v>30</v>
      </c>
    </row>
    <row r="113" spans="1:6" s="764" customFormat="1" ht="24">
      <c r="A113" s="768">
        <v>53</v>
      </c>
      <c r="B113" s="3699"/>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699" t="s">
        <v>694</v>
      </c>
      <c r="C116" s="768" t="s">
        <v>695</v>
      </c>
      <c r="D116" s="682" t="s">
        <v>696</v>
      </c>
      <c r="E116" s="781">
        <v>0.2</v>
      </c>
      <c r="F116" s="768">
        <v>30</v>
      </c>
    </row>
    <row r="117" spans="1:6" ht="36">
      <c r="A117" s="768">
        <v>57</v>
      </c>
      <c r="B117" s="3699"/>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9"/>
  <sheetViews>
    <sheetView zoomScale="80" zoomScaleNormal="80" workbookViewId="0">
      <selection activeCell="L7" sqref="L7"/>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05" t="s">
        <v>964</v>
      </c>
      <c r="C1" s="3705"/>
      <c r="D1" s="3705"/>
      <c r="E1" s="3705"/>
      <c r="F1" s="3705"/>
      <c r="G1" s="3704" t="s">
        <v>965</v>
      </c>
      <c r="H1" s="3704"/>
      <c r="I1" s="3704"/>
      <c r="J1" s="3704"/>
      <c r="K1" s="3704"/>
      <c r="L1" s="3704"/>
      <c r="N1" s="3704" t="s">
        <v>966</v>
      </c>
      <c r="O1" s="3704"/>
      <c r="P1" s="3704"/>
      <c r="Q1" s="3704"/>
      <c r="S1" s="3704" t="s">
        <v>967</v>
      </c>
      <c r="T1" s="3704"/>
      <c r="U1" s="3704"/>
      <c r="V1" s="3704"/>
      <c r="X1" s="3703" t="s">
        <v>968</v>
      </c>
      <c r="Y1" s="3704"/>
      <c r="Z1" s="3704"/>
      <c r="AA1" s="3704"/>
      <c r="AB1" s="3704"/>
      <c r="AD1" s="3703" t="s">
        <v>969</v>
      </c>
      <c r="AE1" s="3704"/>
      <c r="AF1" s="3704"/>
      <c r="AG1" s="3704"/>
      <c r="AH1" s="3704"/>
    </row>
    <row r="2" spans="1:34" s="2304" customFormat="1" ht="14.25" thickBot="1">
      <c r="B2" s="2305" t="s">
        <v>970</v>
      </c>
      <c r="C2" s="2305" t="s">
        <v>971</v>
      </c>
      <c r="D2" s="2306" t="s">
        <v>972</v>
      </c>
      <c r="E2" s="2306" t="s">
        <v>973</v>
      </c>
      <c r="F2" s="2305" t="s">
        <v>974</v>
      </c>
      <c r="G2" s="2307"/>
      <c r="I2" s="2305" t="s">
        <v>1190</v>
      </c>
      <c r="J2" s="2306" t="s">
        <v>1191</v>
      </c>
      <c r="K2" s="2306" t="s">
        <v>1192</v>
      </c>
      <c r="L2" s="2305" t="s">
        <v>1193</v>
      </c>
      <c r="N2" s="2305" t="s">
        <v>970</v>
      </c>
      <c r="O2" s="2306" t="s">
        <v>1194</v>
      </c>
      <c r="P2" s="2306" t="s">
        <v>728</v>
      </c>
      <c r="Q2" s="2305" t="s">
        <v>974</v>
      </c>
      <c r="S2" s="2305" t="s">
        <v>970</v>
      </c>
      <c r="T2" s="2306" t="s">
        <v>1194</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2647</v>
      </c>
      <c r="B3" s="2309"/>
      <c r="C3" s="2309"/>
      <c r="D3" s="2310"/>
      <c r="E3" s="2310"/>
      <c r="F3" s="2309"/>
      <c r="G3" s="2311"/>
      <c r="H3" s="2312"/>
      <c r="I3" s="2313">
        <f>ROUND(AVERAGE(I4:I36),2)</f>
        <v>1.66</v>
      </c>
      <c r="J3" s="2313">
        <f>ROUND(AVERAGE(J4:J36),2)</f>
        <v>1.05</v>
      </c>
      <c r="K3" s="2313">
        <f>ROUND(AVERAGE(K4:K36),2)</f>
        <v>1.83</v>
      </c>
      <c r="L3" s="2314">
        <f>ROUND(AVERAGE(L4:L36),2)</f>
        <v>1.22</v>
      </c>
      <c r="N3" s="2311"/>
      <c r="S3" s="2311"/>
      <c r="W3" s="2316"/>
      <c r="X3" s="2317">
        <f>ROUND(SUMPRODUCT(PRODUCT(1+N3:N$35)),4)</f>
        <v>1.6415999999999999</v>
      </c>
      <c r="Y3" s="2317">
        <f>ROUND(SUMPRODUCT(PRODUCT(1+O3:O$35)),4)</f>
        <v>1.3644000000000001</v>
      </c>
      <c r="Z3" s="2317">
        <f t="shared" ref="Z3:Z33" si="0">Y3</f>
        <v>1.3644000000000001</v>
      </c>
      <c r="AA3" s="2317">
        <f>ROUND(SUMPRODUCT(PRODUCT(1+P3:P$35)),4)</f>
        <v>1.7232000000000001</v>
      </c>
      <c r="AB3" s="2317">
        <f>ROUND(SUMPRODUCT(PRODUCT(1+Q3:Q$35)),4)</f>
        <v>1.4529000000000001</v>
      </c>
      <c r="AD3" s="2318">
        <f>ROUND(AVERAGE(I3:I$36)/100,4)</f>
        <v>1.66E-2</v>
      </c>
      <c r="AE3" s="2318">
        <f>ROUND(AVERAGE(J3:J$36)/100,4)</f>
        <v>1.0500000000000001E-2</v>
      </c>
      <c r="AF3" s="2318">
        <f t="shared" ref="AF3:AF24" si="1">AE3</f>
        <v>1.0500000000000001E-2</v>
      </c>
      <c r="AG3" s="2318">
        <f>ROUND(AVERAGE(K3:K$36)/100,4)</f>
        <v>1.83E-2</v>
      </c>
      <c r="AH3" s="2318">
        <f>ROUND(AVERAGE(L3:L$36)/100,4)</f>
        <v>1.2200000000000001E-2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2834</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133">
        <v>2021</v>
      </c>
      <c r="H5" s="2331">
        <v>4</v>
      </c>
      <c r="I5" s="2332">
        <v>0</v>
      </c>
      <c r="J5" s="2332">
        <v>0</v>
      </c>
      <c r="K5" s="2332">
        <v>0</v>
      </c>
      <c r="L5" s="2333">
        <v>0</v>
      </c>
      <c r="N5" s="2335">
        <f t="shared" ref="N5" si="7">I5/100</f>
        <v>0</v>
      </c>
      <c r="O5" s="2335">
        <f t="shared" ref="O5" si="8">J5/100</f>
        <v>0</v>
      </c>
      <c r="P5" s="2335">
        <f t="shared" ref="P5" si="9">K5/100</f>
        <v>0</v>
      </c>
      <c r="Q5" s="2335">
        <f t="shared" ref="Q5" si="10">L5/100</f>
        <v>0</v>
      </c>
      <c r="S5" s="2344"/>
      <c r="T5" s="2345"/>
      <c r="U5" s="2345"/>
      <c r="V5" s="2345"/>
      <c r="W5" s="2336" t="s">
        <v>2646</v>
      </c>
      <c r="X5" s="2337">
        <f>ROUND(SUMPRODUCT(PRODUCT(1+N5:N$35)),4)</f>
        <v>1.6415999999999999</v>
      </c>
      <c r="Y5" s="2337">
        <f>ROUND(SUMPRODUCT(PRODUCT(1+O5:O$35)),4)</f>
        <v>1.3644000000000001</v>
      </c>
      <c r="Z5" s="2337">
        <f t="shared" ref="Z5" si="11">Y5</f>
        <v>1.3644000000000001</v>
      </c>
      <c r="AA5" s="2337">
        <f>ROUND(SUMPRODUCT(PRODUCT(1+P5:P$35)),4)</f>
        <v>1.7232000000000001</v>
      </c>
      <c r="AB5" s="2337">
        <f>ROUND(SUMPRODUCT(PRODUCT(1+Q5:Q$35)),4)</f>
        <v>1.4529000000000001</v>
      </c>
      <c r="AD5" s="2338">
        <f>ROUND(AVERAGE(I5:I$36)/100,4)</f>
        <v>1.66E-2</v>
      </c>
      <c r="AE5" s="2338">
        <f>ROUND(AVERAGE(J5:J$36)/100,4)</f>
        <v>1.0500000000000001E-2</v>
      </c>
      <c r="AF5" s="2338">
        <f t="shared" ref="AF5" si="12">AE5</f>
        <v>1.0500000000000001E-2</v>
      </c>
      <c r="AG5" s="2338">
        <f>ROUND(AVERAGE(K5:K$36)/100,4)</f>
        <v>1.83E-2</v>
      </c>
      <c r="AH5" s="2338">
        <f>ROUND(AVERAGE(L5:L$36)/100,4)</f>
        <v>1.2200000000000001E-2</v>
      </c>
    </row>
    <row r="6" spans="1:34" s="2346" customFormat="1" ht="14.45" customHeight="1">
      <c r="A6" s="2339" t="s">
        <v>2835</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133">
        <v>2021</v>
      </c>
      <c r="H6" s="2341">
        <v>3</v>
      </c>
      <c r="I6" s="3131">
        <v>0.47</v>
      </c>
      <c r="J6" s="3131">
        <v>0.41</v>
      </c>
      <c r="K6" s="3131">
        <v>0.48</v>
      </c>
      <c r="L6" s="3132">
        <v>0.48</v>
      </c>
      <c r="M6" s="2343"/>
      <c r="N6" s="2344">
        <f t="shared" ref="N6" si="18">I6/100</f>
        <v>4.6999999999999993E-3</v>
      </c>
      <c r="O6" s="2345">
        <f t="shared" ref="O6" si="19">J6/100</f>
        <v>4.0999999999999995E-3</v>
      </c>
      <c r="P6" s="2345">
        <f t="shared" ref="P6" si="20">K6/100</f>
        <v>4.7999999999999996E-3</v>
      </c>
      <c r="Q6" s="2345">
        <f t="shared" ref="Q6" si="21">L6/100</f>
        <v>4.7999999999999996E-3</v>
      </c>
      <c r="R6" s="2343"/>
      <c r="S6" s="2344"/>
      <c r="T6" s="2345"/>
      <c r="U6" s="2345"/>
      <c r="V6" s="2345"/>
      <c r="W6" s="2343"/>
      <c r="X6" s="2343">
        <f>ROUND(SUMPRODUCT(PRODUCT(1+N6:N$35)),4)</f>
        <v>1.6415999999999999</v>
      </c>
      <c r="Y6" s="2343">
        <f>ROUND(SUMPRODUCT(PRODUCT(1+O6:O$35)),4)</f>
        <v>1.3644000000000001</v>
      </c>
      <c r="Z6" s="2343">
        <f t="shared" ref="Z6" si="22">Y6</f>
        <v>1.3644000000000001</v>
      </c>
      <c r="AA6" s="2343">
        <f>ROUND(SUMPRODUCT(PRODUCT(1+P6:P$35)),4)</f>
        <v>1.7232000000000001</v>
      </c>
      <c r="AB6" s="2343">
        <f>ROUND(SUMPRODUCT(PRODUCT(1+Q6:Q$35)),4)</f>
        <v>1.4529000000000001</v>
      </c>
      <c r="AC6" s="2343"/>
      <c r="AD6" s="2345">
        <f>ROUND(AVERAGE(I6:I$36)/100,4)</f>
        <v>1.72E-2</v>
      </c>
      <c r="AE6" s="2345">
        <f>ROUND(AVERAGE(J6:J$36)/100,4)</f>
        <v>1.09E-2</v>
      </c>
      <c r="AF6" s="2345">
        <f t="shared" ref="AF6" si="23">AE6</f>
        <v>1.09E-2</v>
      </c>
      <c r="AG6" s="2345">
        <f>ROUND(AVERAGE(K6:K$36)/100,4)</f>
        <v>1.89E-2</v>
      </c>
      <c r="AH6" s="2345">
        <f>ROUND(AVERAGE(L6:L$36)/100,4)</f>
        <v>1.26E-2</v>
      </c>
    </row>
    <row r="7" spans="1:34" s="2346" customFormat="1" ht="14.45" customHeight="1">
      <c r="A7" s="2339" t="s">
        <v>2833</v>
      </c>
      <c r="B7" s="2340">
        <f t="shared" ref="B7" si="24">B8*(1+N7)</f>
        <v>502.50893609650217</v>
      </c>
      <c r="C7" s="2340">
        <f t="shared" ref="C7" si="25">C8*(1+O7)</f>
        <v>350.27569313914915</v>
      </c>
      <c r="D7" s="2340">
        <f t="shared" ref="D7" si="26">C7</f>
        <v>350.27569313914915</v>
      </c>
      <c r="E7" s="2340">
        <f t="shared" ref="E7" si="27">E8*(1+P7)</f>
        <v>725.27220201394141</v>
      </c>
      <c r="F7" s="2340">
        <f t="shared" ref="F7" si="28">F8*(1+Q7)</f>
        <v>332.45017846012797</v>
      </c>
      <c r="G7" s="3130">
        <v>2021</v>
      </c>
      <c r="H7" s="2341">
        <v>2</v>
      </c>
      <c r="I7" s="3131">
        <v>0.92</v>
      </c>
      <c r="J7" s="3131">
        <v>0.72</v>
      </c>
      <c r="K7" s="3131">
        <v>0.95</v>
      </c>
      <c r="L7" s="3132">
        <v>1.01</v>
      </c>
      <c r="M7" s="2343"/>
      <c r="N7" s="2344">
        <f t="shared" ref="N7" si="29">I7/100</f>
        <v>9.1999999999999998E-3</v>
      </c>
      <c r="O7" s="2345">
        <f t="shared" ref="O7" si="30">J7/100</f>
        <v>7.1999999999999998E-3</v>
      </c>
      <c r="P7" s="2345">
        <f t="shared" ref="P7" si="31">K7/100</f>
        <v>9.4999999999999998E-3</v>
      </c>
      <c r="Q7" s="2345">
        <f t="shared" ref="Q7" si="32">L7/100</f>
        <v>1.01E-2</v>
      </c>
      <c r="R7" s="2343"/>
      <c r="S7" s="2344"/>
      <c r="T7" s="2345"/>
      <c r="U7" s="2345"/>
      <c r="V7" s="2345"/>
      <c r="W7" s="2343"/>
      <c r="X7" s="2343">
        <f>ROUND(SUMPRODUCT(PRODUCT(1+N7:N$35)),4)</f>
        <v>1.6338999999999999</v>
      </c>
      <c r="Y7" s="2343">
        <f>ROUND(SUMPRODUCT(PRODUCT(1+O7:O$35)),4)</f>
        <v>1.3588</v>
      </c>
      <c r="Z7" s="2343">
        <f t="shared" ref="Z7" si="33">Y7</f>
        <v>1.3588</v>
      </c>
      <c r="AA7" s="2343">
        <f>ROUND(SUMPRODUCT(PRODUCT(1+P7:P$35)),4)</f>
        <v>1.7150000000000001</v>
      </c>
      <c r="AB7" s="2343">
        <f>ROUND(SUMPRODUCT(PRODUCT(1+Q7:Q$35)),4)</f>
        <v>1.446</v>
      </c>
      <c r="AC7" s="2343"/>
      <c r="AD7" s="2345">
        <f>ROUND(AVERAGE(I7:I$36)/100,4)</f>
        <v>1.7600000000000001E-2</v>
      </c>
      <c r="AE7" s="2345">
        <f>ROUND(AVERAGE(J7:J$36)/100,4)</f>
        <v>1.11E-2</v>
      </c>
      <c r="AF7" s="2345">
        <f t="shared" ref="AF7" si="34">AE7</f>
        <v>1.11E-2</v>
      </c>
      <c r="AG7" s="2345">
        <f>ROUND(AVERAGE(K7:K$36)/100,4)</f>
        <v>1.9400000000000001E-2</v>
      </c>
      <c r="AH7" s="2345">
        <f>ROUND(AVERAGE(L7:L$36)/100,4)</f>
        <v>1.2800000000000001E-2</v>
      </c>
    </row>
    <row r="8" spans="1:34" s="2346" customFormat="1" ht="14.45" customHeight="1">
      <c r="A8" s="2339" t="s">
        <v>2832</v>
      </c>
      <c r="B8" s="2340">
        <f t="shared" ref="B8" si="35">B9*(1+N8)</f>
        <v>497.92799851020823</v>
      </c>
      <c r="C8" s="2340">
        <f t="shared" ref="C8" si="36">C9*(1+O8)</f>
        <v>347.77173663537445</v>
      </c>
      <c r="D8" s="2340">
        <f t="shared" ref="D8" si="37">C8</f>
        <v>347.77173663537445</v>
      </c>
      <c r="E8" s="2340">
        <f t="shared" ref="E8" si="38">E9*(1+P8)</f>
        <v>718.44695593258189</v>
      </c>
      <c r="F8" s="2340">
        <f t="shared" ref="F8" si="39">F9*(1+Q8)</f>
        <v>329.12600580153247</v>
      </c>
      <c r="G8" s="3129">
        <v>2021</v>
      </c>
      <c r="H8" s="2341">
        <v>1</v>
      </c>
      <c r="I8" s="3131">
        <v>0.97</v>
      </c>
      <c r="J8" s="3131">
        <v>0.16</v>
      </c>
      <c r="K8" s="3131">
        <v>1.1100000000000001</v>
      </c>
      <c r="L8" s="3132">
        <v>0.36</v>
      </c>
      <c r="M8" s="2343"/>
      <c r="N8" s="2344">
        <f t="shared" ref="N8" si="40">I8/100</f>
        <v>9.7000000000000003E-3</v>
      </c>
      <c r="O8" s="2345">
        <f t="shared" ref="O8" si="41">J8/100</f>
        <v>1.6000000000000001E-3</v>
      </c>
      <c r="P8" s="2345">
        <f t="shared" ref="P8" si="42">K8/100</f>
        <v>1.11E-2</v>
      </c>
      <c r="Q8" s="2345">
        <f t="shared" ref="Q8" si="43">L8/100</f>
        <v>3.5999999999999999E-3</v>
      </c>
      <c r="R8" s="2343"/>
      <c r="S8" s="2344">
        <f>B8/B9-1</f>
        <v>9.7000000000000419E-3</v>
      </c>
      <c r="T8" s="2345">
        <f>C8/C9-1</f>
        <v>1.6000000000000458E-3</v>
      </c>
      <c r="U8" s="2345">
        <f>E8/E9-1</f>
        <v>1.110000000000011E-2</v>
      </c>
      <c r="V8" s="2345">
        <f>F8/F9-1</f>
        <v>3.6000000000000476E-3</v>
      </c>
      <c r="W8" s="2343"/>
      <c r="X8" s="2343">
        <f>ROUND(SUMPRODUCT(PRODUCT(1+N8:N$35)),4)</f>
        <v>1.619</v>
      </c>
      <c r="Y8" s="2343">
        <f>ROUND(SUMPRODUCT(PRODUCT(1+O8:O$35)),4)</f>
        <v>1.3491</v>
      </c>
      <c r="Z8" s="2343">
        <f t="shared" ref="Z8" si="44">Y8</f>
        <v>1.3491</v>
      </c>
      <c r="AA8" s="2343">
        <f>ROUND(SUMPRODUCT(PRODUCT(1+P8:P$35)),4)</f>
        <v>1.6988000000000001</v>
      </c>
      <c r="AB8" s="2343">
        <f>ROUND(SUMPRODUCT(PRODUCT(1+Q8:Q$35)),4)</f>
        <v>1.4315</v>
      </c>
      <c r="AC8" s="2343"/>
      <c r="AD8" s="2345">
        <f>ROUND(AVERAGE(I8:I$36)/100,4)</f>
        <v>1.7899999999999999E-2</v>
      </c>
      <c r="AE8" s="2345">
        <f>ROUND(AVERAGE(J8:J$36)/100,4)</f>
        <v>1.12E-2</v>
      </c>
      <c r="AF8" s="2345">
        <f t="shared" ref="AF8" si="45">AE8</f>
        <v>1.12E-2</v>
      </c>
      <c r="AG8" s="2345">
        <f>ROUND(AVERAGE(K8:K$36)/100,4)</f>
        <v>1.9699999999999999E-2</v>
      </c>
      <c r="AH8" s="2345">
        <f>ROUND(AVERAGE(L8:L$36)/100,4)</f>
        <v>1.29E-2</v>
      </c>
    </row>
    <row r="9" spans="1:34" s="2346" customFormat="1" ht="14.45" customHeight="1">
      <c r="A9" s="2339" t="s">
        <v>2828</v>
      </c>
      <c r="B9" s="2340">
        <f t="shared" ref="B9" si="46">B10*(1+N9)</f>
        <v>493.14449689037161</v>
      </c>
      <c r="C9" s="2340">
        <f t="shared" ref="C9" si="47">C10*(1+O9)</f>
        <v>347.21619073020611</v>
      </c>
      <c r="D9" s="2340">
        <f t="shared" ref="D9" si="48">C9</f>
        <v>347.21619073020611</v>
      </c>
      <c r="E9" s="2340">
        <f t="shared" ref="E9" si="49">E10*(1+P9)</f>
        <v>710.55974278763904</v>
      </c>
      <c r="F9" s="2340">
        <f t="shared" ref="F9" si="50">F10*(1+Q9)</f>
        <v>327.94540235306141</v>
      </c>
      <c r="G9" s="3120">
        <v>2020</v>
      </c>
      <c r="H9" s="2341">
        <v>4</v>
      </c>
      <c r="I9" s="2341">
        <v>2.0699999999999998</v>
      </c>
      <c r="J9" s="2341">
        <v>0.37</v>
      </c>
      <c r="K9" s="2341">
        <v>2.35</v>
      </c>
      <c r="L9" s="2342">
        <v>2.69</v>
      </c>
      <c r="M9" s="2343"/>
      <c r="N9" s="2344">
        <f t="shared" ref="N9" si="51">I9/100</f>
        <v>2.07E-2</v>
      </c>
      <c r="O9" s="2345">
        <f t="shared" ref="O9" si="52">J9/100</f>
        <v>3.7000000000000002E-3</v>
      </c>
      <c r="P9" s="2345">
        <f t="shared" ref="P9" si="53">K9/100</f>
        <v>2.35E-2</v>
      </c>
      <c r="Q9" s="2345">
        <f t="shared" ref="Q9" si="54">L9/100</f>
        <v>2.69E-2</v>
      </c>
      <c r="R9" s="2343"/>
      <c r="S9" s="2344"/>
      <c r="T9" s="2345"/>
      <c r="U9" s="2345"/>
      <c r="V9" s="2345"/>
      <c r="W9" s="2343"/>
      <c r="X9" s="2343">
        <f>ROUND(SUMPRODUCT(PRODUCT(1+N9:N$35)),4)</f>
        <v>1.6034999999999999</v>
      </c>
      <c r="Y9" s="2343">
        <f>ROUND(SUMPRODUCT(PRODUCT(1+O9:O$35)),4)</f>
        <v>1.3469</v>
      </c>
      <c r="Z9" s="2343">
        <f t="shared" ref="Z9" si="55">Y9</f>
        <v>1.3469</v>
      </c>
      <c r="AA9" s="2343">
        <f>ROUND(SUMPRODUCT(PRODUCT(1+P9:P$35)),4)</f>
        <v>1.6801999999999999</v>
      </c>
      <c r="AB9" s="2343">
        <f>ROUND(SUMPRODUCT(PRODUCT(1+Q9:Q$35)),4)</f>
        <v>1.4263999999999999</v>
      </c>
      <c r="AC9" s="2343"/>
      <c r="AD9" s="2345">
        <f>ROUND(AVERAGE(I9:I$36)/100,4)</f>
        <v>1.8200000000000001E-2</v>
      </c>
      <c r="AE9" s="2345">
        <f>ROUND(AVERAGE(J9:J$36)/100,4)</f>
        <v>1.1599999999999999E-2</v>
      </c>
      <c r="AF9" s="2345">
        <f t="shared" ref="AF9" si="56">AE9</f>
        <v>1.1599999999999999E-2</v>
      </c>
      <c r="AG9" s="2345">
        <f>ROUND(AVERAGE(K9:K$36)/100,4)</f>
        <v>0.02</v>
      </c>
      <c r="AH9" s="2345">
        <f>ROUND(AVERAGE(L9:L$36)/100,4)</f>
        <v>1.3299999999999999E-2</v>
      </c>
    </row>
    <row r="10" spans="1:34" s="2346" customFormat="1" ht="14.45" customHeight="1">
      <c r="A10" s="2339" t="s">
        <v>2827</v>
      </c>
      <c r="B10" s="2340">
        <f t="shared" ref="B10" si="57">B11*(1+N10)</f>
        <v>483.1434279321756</v>
      </c>
      <c r="C10" s="2340">
        <f t="shared" ref="C10" si="58">C11*(1+O10)</f>
        <v>345.93622669144776</v>
      </c>
      <c r="D10" s="2340">
        <f t="shared" ref="D10" si="59">C10</f>
        <v>345.93622669144776</v>
      </c>
      <c r="E10" s="2340">
        <f t="shared" ref="E10" si="60">E11*(1+P10)</f>
        <v>694.24498562544113</v>
      </c>
      <c r="F10" s="2340">
        <f t="shared" ref="F10" si="61">F11*(1+Q10)</f>
        <v>319.35475932716082</v>
      </c>
      <c r="G10" s="3119">
        <v>2020</v>
      </c>
      <c r="H10" s="2341">
        <v>3</v>
      </c>
      <c r="I10" s="2341">
        <v>0.36</v>
      </c>
      <c r="J10" s="2341">
        <v>-0.39</v>
      </c>
      <c r="K10" s="2341">
        <v>0.49</v>
      </c>
      <c r="L10" s="2342">
        <v>7.0000000000000007E-2</v>
      </c>
      <c r="M10" s="2343"/>
      <c r="N10" s="2344">
        <f t="shared" ref="N10" si="62">I10/100</f>
        <v>3.5999999999999999E-3</v>
      </c>
      <c r="O10" s="2345">
        <f t="shared" ref="O10" si="63">J10/100</f>
        <v>-3.9000000000000003E-3</v>
      </c>
      <c r="P10" s="2345">
        <f t="shared" ref="P10" si="64">K10/100</f>
        <v>4.8999999999999998E-3</v>
      </c>
      <c r="Q10" s="2345">
        <f t="shared" ref="Q10" si="65">L10/100</f>
        <v>7.000000000000001E-4</v>
      </c>
      <c r="R10" s="2343"/>
      <c r="S10" s="2344"/>
      <c r="T10" s="2345"/>
      <c r="U10" s="2345"/>
      <c r="V10" s="2345"/>
      <c r="W10" s="2343"/>
      <c r="X10" s="2343">
        <f>ROUND(SUMPRODUCT(PRODUCT(1+N10:N$35)),4)</f>
        <v>1.571</v>
      </c>
      <c r="Y10" s="2343">
        <f>ROUND(SUMPRODUCT(PRODUCT(1+O10:O$35)),4)</f>
        <v>1.3420000000000001</v>
      </c>
      <c r="Z10" s="2343">
        <f t="shared" ref="Z10" si="66">Y10</f>
        <v>1.3420000000000001</v>
      </c>
      <c r="AA10" s="2343">
        <f>ROUND(SUMPRODUCT(PRODUCT(1+P10:P$35)),4)</f>
        <v>1.6415999999999999</v>
      </c>
      <c r="AB10" s="2343">
        <f>ROUND(SUMPRODUCT(PRODUCT(1+Q10:Q$35)),4)</f>
        <v>1.389</v>
      </c>
      <c r="AC10" s="2343"/>
      <c r="AD10" s="2345">
        <f>ROUND(AVERAGE(I10:I$36)/100,4)</f>
        <v>1.8100000000000002E-2</v>
      </c>
      <c r="AE10" s="2345">
        <f>ROUND(AVERAGE(J10:J$36)/100,4)</f>
        <v>1.1900000000000001E-2</v>
      </c>
      <c r="AF10" s="2345">
        <f t="shared" ref="AF10" si="67">AE10</f>
        <v>1.1900000000000001E-2</v>
      </c>
      <c r="AG10" s="2345">
        <f>ROUND(AVERAGE(K10:K$36)/100,4)</f>
        <v>1.9900000000000001E-2</v>
      </c>
      <c r="AH10" s="2345">
        <f>ROUND(AVERAGE(L10:L$36)/100,4)</f>
        <v>1.2800000000000001E-2</v>
      </c>
    </row>
    <row r="11" spans="1:34" s="2346" customFormat="1" ht="14.45" customHeight="1">
      <c r="A11" s="2339" t="s">
        <v>2679</v>
      </c>
      <c r="B11" s="2340">
        <f t="shared" ref="B11" si="68">B12*(1+N11)</f>
        <v>481.4103506697644</v>
      </c>
      <c r="C11" s="2340">
        <f t="shared" ref="C11" si="69">C12*(1+O11)</f>
        <v>347.29066026648707</v>
      </c>
      <c r="D11" s="2340">
        <f t="shared" ref="D11" si="70">C11</f>
        <v>347.29066026648707</v>
      </c>
      <c r="E11" s="2340">
        <f t="shared" ref="E11" si="71">E12*(1+P11)</f>
        <v>690.85977273901995</v>
      </c>
      <c r="F11" s="2340">
        <f t="shared" ref="F11" si="72">F12*(1+Q11)</f>
        <v>319.13136737000184</v>
      </c>
      <c r="G11" s="2330">
        <v>2020</v>
      </c>
      <c r="H11" s="2341">
        <v>2</v>
      </c>
      <c r="I11" s="2341">
        <v>0.31</v>
      </c>
      <c r="J11" s="2341">
        <v>-0.78</v>
      </c>
      <c r="K11" s="2341">
        <v>0.5</v>
      </c>
      <c r="L11" s="2342">
        <v>0.47</v>
      </c>
      <c r="M11" s="2343"/>
      <c r="N11" s="2344">
        <f t="shared" ref="N11" si="73">I11/100</f>
        <v>3.0999999999999999E-3</v>
      </c>
      <c r="O11" s="2345">
        <f t="shared" ref="O11" si="74">J11/100</f>
        <v>-7.8000000000000005E-3</v>
      </c>
      <c r="P11" s="2345">
        <f t="shared" ref="P11" si="75">K11/100</f>
        <v>5.0000000000000001E-3</v>
      </c>
      <c r="Q11" s="2345">
        <f t="shared" ref="Q11" si="76">L11/100</f>
        <v>4.6999999999999993E-3</v>
      </c>
      <c r="R11" s="2343"/>
      <c r="S11" s="2344"/>
      <c r="T11" s="2345"/>
      <c r="U11" s="2345"/>
      <c r="V11" s="2345"/>
      <c r="W11" s="2343"/>
      <c r="X11" s="2343">
        <f>ROUND(SUMPRODUCT(PRODUCT(1+N11:N$35)),4)</f>
        <v>1.5652999999999999</v>
      </c>
      <c r="Y11" s="2343">
        <f>ROUND(SUMPRODUCT(PRODUCT(1+O11:O$35)),4)</f>
        <v>1.3472</v>
      </c>
      <c r="Z11" s="2343">
        <f t="shared" ref="Z11" si="77">Y11</f>
        <v>1.3472</v>
      </c>
      <c r="AA11" s="2343">
        <f>ROUND(SUMPRODUCT(PRODUCT(1+P11:P$35)),4)</f>
        <v>1.6335999999999999</v>
      </c>
      <c r="AB11" s="2343">
        <f>ROUND(SUMPRODUCT(PRODUCT(1+Q11:Q$35)),4)</f>
        <v>1.3880999999999999</v>
      </c>
      <c r="AC11" s="2343"/>
      <c r="AD11" s="2345">
        <f>ROUND(AVERAGE(I11:I$36)/100,4)</f>
        <v>1.8599999999999998E-2</v>
      </c>
      <c r="AE11" s="2345">
        <f>ROUND(AVERAGE(J11:J$36)/100,4)</f>
        <v>1.2500000000000001E-2</v>
      </c>
      <c r="AF11" s="2345">
        <f t="shared" ref="AF11" si="78">AE11</f>
        <v>1.2500000000000001E-2</v>
      </c>
      <c r="AG11" s="2345">
        <f>ROUND(AVERAGE(K11:K$36)/100,4)</f>
        <v>2.0400000000000001E-2</v>
      </c>
      <c r="AH11" s="2345">
        <f>ROUND(AVERAGE(L11:L$36)/100,4)</f>
        <v>1.32E-2</v>
      </c>
    </row>
    <row r="12" spans="1:34" s="2346" customFormat="1" ht="14.45" customHeight="1">
      <c r="A12" s="2339" t="s">
        <v>2676</v>
      </c>
      <c r="B12" s="2340">
        <f t="shared" ref="B12" si="79">B13*(1+N12)</f>
        <v>479.92259063878413</v>
      </c>
      <c r="C12" s="2340">
        <f t="shared" ref="C12" si="80">C13*(1+O12)</f>
        <v>350.02082268341775</v>
      </c>
      <c r="D12" s="2340">
        <f t="shared" ref="D12" si="81">C12</f>
        <v>350.02082268341775</v>
      </c>
      <c r="E12" s="2340">
        <f t="shared" ref="E12" si="82">E13*(1+P12)</f>
        <v>687.42265944181099</v>
      </c>
      <c r="F12" s="2340">
        <f t="shared" ref="F12" si="83">F13*(1+Q12)</f>
        <v>317.63846657708956</v>
      </c>
      <c r="G12" s="2330">
        <v>2020</v>
      </c>
      <c r="H12" s="2341">
        <v>1</v>
      </c>
      <c r="I12" s="2341">
        <v>0.12</v>
      </c>
      <c r="J12" s="2341">
        <v>-0.4</v>
      </c>
      <c r="K12" s="2341">
        <v>0.21</v>
      </c>
      <c r="L12" s="2342">
        <v>0.27</v>
      </c>
      <c r="M12" s="2343"/>
      <c r="N12" s="2344">
        <f t="shared" ref="N12" si="84">I12/100</f>
        <v>1.1999999999999999E-3</v>
      </c>
      <c r="O12" s="2345">
        <f t="shared" ref="O12" si="85">J12/100</f>
        <v>-4.0000000000000001E-3</v>
      </c>
      <c r="P12" s="2345">
        <f t="shared" ref="P12" si="86">K12/100</f>
        <v>2.0999999999999999E-3</v>
      </c>
      <c r="Q12" s="2345">
        <f t="shared" ref="Q12" si="87">L12/100</f>
        <v>2.7000000000000001E-3</v>
      </c>
      <c r="R12" s="2343"/>
      <c r="S12" s="2344">
        <f>B12/B13-1</f>
        <v>1.2000000000000899E-3</v>
      </c>
      <c r="T12" s="2345">
        <f>C12/C13-1</f>
        <v>-4.0000000000000036E-3</v>
      </c>
      <c r="U12" s="2345">
        <f>E12/E13-1</f>
        <v>2.0999999999999908E-3</v>
      </c>
      <c r="V12" s="2345">
        <f>F12/F13-1</f>
        <v>2.6999999999999247E-3</v>
      </c>
      <c r="W12" s="2343"/>
      <c r="X12" s="2343">
        <f>ROUND(SUMPRODUCT(PRODUCT(1+N12:N$35)),4)</f>
        <v>1.5605</v>
      </c>
      <c r="Y12" s="2343">
        <f>ROUND(SUMPRODUCT(PRODUCT(1+O12:O$35)),4)</f>
        <v>1.3577999999999999</v>
      </c>
      <c r="Z12" s="2343">
        <f t="shared" ref="Z12" si="88">Y12</f>
        <v>1.3577999999999999</v>
      </c>
      <c r="AA12" s="2343">
        <f>ROUND(SUMPRODUCT(PRODUCT(1+P12:P$35)),4)</f>
        <v>1.6254999999999999</v>
      </c>
      <c r="AB12" s="2343">
        <f>ROUND(SUMPRODUCT(PRODUCT(1+Q12:Q$35)),4)</f>
        <v>1.3815999999999999</v>
      </c>
      <c r="AC12" s="2343"/>
      <c r="AD12" s="2345">
        <f>ROUND(AVERAGE(I12:I$36)/100,4)</f>
        <v>1.9199999999999998E-2</v>
      </c>
      <c r="AE12" s="2345">
        <f>ROUND(AVERAGE(J12:J$36)/100,4)</f>
        <v>1.3299999999999999E-2</v>
      </c>
      <c r="AF12" s="2345">
        <f t="shared" ref="AF12" si="89">AE12</f>
        <v>1.3299999999999999E-2</v>
      </c>
      <c r="AG12" s="2345">
        <f>ROUND(AVERAGE(K12:K$36)/100,4)</f>
        <v>2.1100000000000001E-2</v>
      </c>
      <c r="AH12" s="2345">
        <f>ROUND(AVERAGE(L12:L$36)/100,4)</f>
        <v>1.3599999999999999E-2</v>
      </c>
    </row>
    <row r="13" spans="1:34" s="2346" customFormat="1" ht="14.45" customHeight="1">
      <c r="A13" s="2339" t="s">
        <v>2674</v>
      </c>
      <c r="B13" s="2340">
        <f t="shared" ref="B13:B18" si="90">B14*(1+N13)</f>
        <v>479.34737379023579</v>
      </c>
      <c r="C13" s="2340">
        <f t="shared" ref="C13" si="91">C14*(1+O13)</f>
        <v>351.4265287986122</v>
      </c>
      <c r="D13" s="2340">
        <f t="shared" ref="D13" si="92">C13</f>
        <v>351.4265287986122</v>
      </c>
      <c r="E13" s="2340">
        <f t="shared" ref="E13" si="93">E14*(1+P13)</f>
        <v>685.98209703803116</v>
      </c>
      <c r="F13" s="2340">
        <f t="shared" ref="F13" si="94">F14*(1+Q13)</f>
        <v>316.78315206651001</v>
      </c>
      <c r="G13" s="2330">
        <v>2019</v>
      </c>
      <c r="H13" s="2341">
        <v>4</v>
      </c>
      <c r="I13" s="2341">
        <v>0.45</v>
      </c>
      <c r="J13" s="2341">
        <v>-0.12</v>
      </c>
      <c r="K13" s="2341">
        <v>0.54</v>
      </c>
      <c r="L13" s="2342">
        <v>0.48</v>
      </c>
      <c r="M13" s="2343"/>
      <c r="N13" s="2344">
        <f t="shared" ref="N13:N18" si="95">I13/100</f>
        <v>4.5000000000000005E-3</v>
      </c>
      <c r="O13" s="2345">
        <f t="shared" ref="O13" si="96">J13/100</f>
        <v>-1.1999999999999999E-3</v>
      </c>
      <c r="P13" s="2345">
        <f t="shared" ref="P13" si="97">K13/100</f>
        <v>5.4000000000000003E-3</v>
      </c>
      <c r="Q13" s="2345">
        <f t="shared" ref="Q13" si="98">L13/100</f>
        <v>4.7999999999999996E-3</v>
      </c>
      <c r="R13" s="2343"/>
      <c r="S13" s="2344"/>
      <c r="T13" s="2345"/>
      <c r="U13" s="2345"/>
      <c r="V13" s="2345"/>
      <c r="W13" s="2343"/>
      <c r="X13" s="2343">
        <f>ROUND(SUMPRODUCT(PRODUCT(1+N13:N$35)),4)</f>
        <v>1.5586</v>
      </c>
      <c r="Y13" s="2343">
        <f>ROUND(SUMPRODUCT(PRODUCT(1+O13:O$35)),4)</f>
        <v>1.3633</v>
      </c>
      <c r="Z13" s="2343">
        <f t="shared" ref="Z13" si="99">Y13</f>
        <v>1.3633</v>
      </c>
      <c r="AA13" s="2343">
        <f>ROUND(SUMPRODUCT(PRODUCT(1+P13:P$35)),4)</f>
        <v>1.6221000000000001</v>
      </c>
      <c r="AB13" s="2343">
        <f>ROUND(SUMPRODUCT(PRODUCT(1+Q13:Q$35)),4)</f>
        <v>1.3777999999999999</v>
      </c>
      <c r="AC13" s="2343"/>
      <c r="AD13" s="2345">
        <f>ROUND(AVERAGE(I13:I$36)/100,4)</f>
        <v>0.02</v>
      </c>
      <c r="AE13" s="2345">
        <f>ROUND(AVERAGE(J13:J$36)/100,4)</f>
        <v>1.4E-2</v>
      </c>
      <c r="AF13" s="2345">
        <f t="shared" ref="AF13" si="100">AE13</f>
        <v>1.4E-2</v>
      </c>
      <c r="AG13" s="2345">
        <f>ROUND(AVERAGE(K13:K$36)/100,4)</f>
        <v>2.1899999999999999E-2</v>
      </c>
      <c r="AH13" s="2345">
        <f>ROUND(AVERAGE(L13:L$36)/100,4)</f>
        <v>1.4E-2</v>
      </c>
    </row>
    <row r="14" spans="1:34" s="2346" customFormat="1" ht="14.45" customHeight="1" thickBot="1">
      <c r="A14" s="2339" t="s">
        <v>2671</v>
      </c>
      <c r="B14" s="2340">
        <f t="shared" si="90"/>
        <v>477.19997390765138</v>
      </c>
      <c r="C14" s="2340">
        <f t="shared" ref="C14" si="101">C15*(1+O14)</f>
        <v>351.84874729536665</v>
      </c>
      <c r="D14" s="2340">
        <f t="shared" ref="D14" si="102">C14</f>
        <v>351.84874729536665</v>
      </c>
      <c r="E14" s="2340">
        <f t="shared" ref="E14" si="103">E15*(1+P14)</f>
        <v>682.29768951465201</v>
      </c>
      <c r="F14" s="2340">
        <f t="shared" ref="F14" si="104">F15*(1+Q14)</f>
        <v>315.26985675409043</v>
      </c>
      <c r="G14" s="2330">
        <v>2019</v>
      </c>
      <c r="H14" s="2341">
        <v>3</v>
      </c>
      <c r="I14" s="2341">
        <v>0.61</v>
      </c>
      <c r="J14" s="2341">
        <v>0.67</v>
      </c>
      <c r="K14" s="2341">
        <v>0.6</v>
      </c>
      <c r="L14" s="2342">
        <v>1.03</v>
      </c>
      <c r="M14" s="2343"/>
      <c r="N14" s="2344">
        <f t="shared" si="95"/>
        <v>6.0999999999999995E-3</v>
      </c>
      <c r="O14" s="2345">
        <f t="shared" ref="O14" si="105">J14/100</f>
        <v>6.7000000000000002E-3</v>
      </c>
      <c r="P14" s="2345">
        <f t="shared" ref="P14" si="106">K14/100</f>
        <v>6.0000000000000001E-3</v>
      </c>
      <c r="Q14" s="2345">
        <f t="shared" ref="Q14" si="107">L14/100</f>
        <v>1.03E-2</v>
      </c>
      <c r="R14" s="2343"/>
      <c r="S14" s="2344"/>
      <c r="T14" s="2345"/>
      <c r="U14" s="2345"/>
      <c r="V14" s="2345"/>
      <c r="W14" s="2343"/>
      <c r="X14" s="2343">
        <f>ROUND(SUMPRODUCT(PRODUCT(1+N14:N$35)),4)</f>
        <v>1.5516000000000001</v>
      </c>
      <c r="Y14" s="2343">
        <f>ROUND(SUMPRODUCT(PRODUCT(1+O14:O$35)),4)</f>
        <v>1.3649</v>
      </c>
      <c r="Z14" s="2343">
        <f t="shared" ref="Z14" si="108">Y14</f>
        <v>1.3649</v>
      </c>
      <c r="AA14" s="2343">
        <f>ROUND(SUMPRODUCT(PRODUCT(1+P14:P$35)),4)</f>
        <v>1.6133999999999999</v>
      </c>
      <c r="AB14" s="2343">
        <f>ROUND(SUMPRODUCT(PRODUCT(1+Q14:Q$35)),4)</f>
        <v>1.3713</v>
      </c>
      <c r="AC14" s="2343"/>
      <c r="AD14" s="2345">
        <f>ROUND(AVERAGE(I14:I$36)/100,4)</f>
        <v>2.07E-2</v>
      </c>
      <c r="AE14" s="2345">
        <f>ROUND(AVERAGE(J14:J$36)/100,4)</f>
        <v>1.47E-2</v>
      </c>
      <c r="AF14" s="2345">
        <f t="shared" ref="AF14" si="109">AE14</f>
        <v>1.47E-2</v>
      </c>
      <c r="AG14" s="2345">
        <f>ROUND(AVERAGE(K14:K$36)/100,4)</f>
        <v>2.2599999999999999E-2</v>
      </c>
      <c r="AH14" s="2345">
        <f>ROUND(AVERAGE(L14:L$36)/100,4)</f>
        <v>1.44E-2</v>
      </c>
    </row>
    <row r="15" spans="1:34" s="2346" customFormat="1" ht="14.45" customHeight="1">
      <c r="A15" s="2339" t="s">
        <v>2665</v>
      </c>
      <c r="B15" s="2340">
        <f t="shared" si="90"/>
        <v>474.30670301923408</v>
      </c>
      <c r="C15" s="2340">
        <f t="shared" ref="C15" si="110">C16*(1+O15)</f>
        <v>349.50705005996491</v>
      </c>
      <c r="D15" s="2340">
        <f t="shared" ref="D15" si="111">C15</f>
        <v>349.50705005996491</v>
      </c>
      <c r="E15" s="2340">
        <f t="shared" ref="E15" si="112">E16*(1+P15)</f>
        <v>678.22831959706957</v>
      </c>
      <c r="F15" s="2340">
        <f t="shared" ref="F15" si="113">F16*(1+Q15)</f>
        <v>312.0556832169558</v>
      </c>
      <c r="G15" s="2330">
        <v>2019</v>
      </c>
      <c r="H15" s="2347">
        <v>2</v>
      </c>
      <c r="I15" s="2347">
        <v>1.53</v>
      </c>
      <c r="J15" s="2347">
        <v>1.01</v>
      </c>
      <c r="K15" s="2347">
        <v>1.62</v>
      </c>
      <c r="L15" s="2348">
        <v>1.25</v>
      </c>
      <c r="M15" s="2343"/>
      <c r="N15" s="2344">
        <f t="shared" si="95"/>
        <v>1.5300000000000001E-2</v>
      </c>
      <c r="O15" s="2345">
        <f t="shared" ref="O15" si="114">J15/100</f>
        <v>1.01E-2</v>
      </c>
      <c r="P15" s="2345">
        <f t="shared" ref="P15" si="115">K15/100</f>
        <v>1.6200000000000003E-2</v>
      </c>
      <c r="Q15" s="2345">
        <f t="shared" ref="Q15" si="116">L15/100</f>
        <v>1.2500000000000001E-2</v>
      </c>
      <c r="R15" s="2343"/>
      <c r="S15" s="2344"/>
      <c r="T15" s="2345"/>
      <c r="U15" s="2345"/>
      <c r="V15" s="2345"/>
      <c r="W15" s="2343"/>
      <c r="X15" s="2343">
        <f>ROUND(SUMPRODUCT(PRODUCT(1+N15:N$35)),4)</f>
        <v>1.5422</v>
      </c>
      <c r="Y15" s="2343">
        <f>ROUND(SUMPRODUCT(PRODUCT(1+O15:O$35)),4)</f>
        <v>1.3557999999999999</v>
      </c>
      <c r="Z15" s="2343">
        <f t="shared" ref="Z15" si="117">Y15</f>
        <v>1.3557999999999999</v>
      </c>
      <c r="AA15" s="2343">
        <f>ROUND(SUMPRODUCT(PRODUCT(1+P15:P$35)),4)</f>
        <v>1.6036999999999999</v>
      </c>
      <c r="AB15" s="2343">
        <f>ROUND(SUMPRODUCT(PRODUCT(1+Q15:Q$35)),4)</f>
        <v>1.3573</v>
      </c>
      <c r="AC15" s="2343"/>
      <c r="AD15" s="2345">
        <f>ROUND(AVERAGE(I15:I$36)/100,4)</f>
        <v>2.1299999999999999E-2</v>
      </c>
      <c r="AE15" s="2345">
        <f>ROUND(AVERAGE(J15:J$36)/100,4)</f>
        <v>1.4999999999999999E-2</v>
      </c>
      <c r="AF15" s="2345">
        <f t="shared" ref="AF15" si="118">AE15</f>
        <v>1.4999999999999999E-2</v>
      </c>
      <c r="AG15" s="2345">
        <f>ROUND(AVERAGE(K15:K$36)/100,4)</f>
        <v>2.3300000000000001E-2</v>
      </c>
      <c r="AH15" s="2345">
        <f>ROUND(AVERAGE(L15:L$36)/100,4)</f>
        <v>1.46E-2</v>
      </c>
    </row>
    <row r="16" spans="1:34" s="2346" customFormat="1" ht="14.45" customHeight="1" thickBot="1">
      <c r="A16" s="2339" t="s">
        <v>2666</v>
      </c>
      <c r="B16" s="2340">
        <f t="shared" si="90"/>
        <v>467.15916775261894</v>
      </c>
      <c r="C16" s="2340">
        <f t="shared" ref="C16" si="119">C17*(1+O16)</f>
        <v>346.01232557169084</v>
      </c>
      <c r="D16" s="2340">
        <f t="shared" ref="D16" si="120">C16</f>
        <v>346.01232557169084</v>
      </c>
      <c r="E16" s="2340">
        <f t="shared" ref="E16" si="121">E17*(1+P16)</f>
        <v>667.41617752122568</v>
      </c>
      <c r="F16" s="2340">
        <f t="shared" ref="F16" si="122">F17*(1+Q16)</f>
        <v>308.20314391798104</v>
      </c>
      <c r="G16" s="2330">
        <v>2019</v>
      </c>
      <c r="H16" s="2341">
        <v>1</v>
      </c>
      <c r="I16" s="2341">
        <v>0.6</v>
      </c>
      <c r="J16" s="2341">
        <v>0.37</v>
      </c>
      <c r="K16" s="2341">
        <v>0.63</v>
      </c>
      <c r="L16" s="2342">
        <v>1.1299999999999999</v>
      </c>
      <c r="M16" s="2343"/>
      <c r="N16" s="2344">
        <f t="shared" si="95"/>
        <v>6.0000000000000001E-3</v>
      </c>
      <c r="O16" s="2345">
        <f t="shared" ref="O16" si="123">J16/100</f>
        <v>3.7000000000000002E-3</v>
      </c>
      <c r="P16" s="2345">
        <f t="shared" ref="P16" si="124">K16/100</f>
        <v>6.3E-3</v>
      </c>
      <c r="Q16" s="2345">
        <f t="shared" ref="Q16" si="125">L16/100</f>
        <v>1.1299999999999999E-2</v>
      </c>
      <c r="R16" s="2343"/>
      <c r="S16" s="2344">
        <f>B16/B17-1</f>
        <v>6.0000000000000053E-3</v>
      </c>
      <c r="T16" s="2345">
        <f>C16/C17-1</f>
        <v>3.7000000000000366E-3</v>
      </c>
      <c r="U16" s="2345">
        <f>E16/E17-1</f>
        <v>6.2999999999999723E-3</v>
      </c>
      <c r="V16" s="2345">
        <f>F16/F17-1</f>
        <v>1.1300000000000088E-2</v>
      </c>
      <c r="W16" s="2343"/>
      <c r="X16" s="2343">
        <f>ROUND(SUMPRODUCT(PRODUCT(1+N16:N$35)),4)</f>
        <v>1.5189999999999999</v>
      </c>
      <c r="Y16" s="2343">
        <f>ROUND(SUMPRODUCT(PRODUCT(1+O16:O$35)),4)</f>
        <v>1.3423</v>
      </c>
      <c r="Z16" s="2343">
        <f t="shared" ref="Z16" si="126">Y16</f>
        <v>1.3423</v>
      </c>
      <c r="AA16" s="2343">
        <f>ROUND(SUMPRODUCT(PRODUCT(1+P16:P$35)),4)</f>
        <v>1.5782</v>
      </c>
      <c r="AB16" s="2343">
        <f>ROUND(SUMPRODUCT(PRODUCT(1+Q16:Q$35)),4)</f>
        <v>1.3405</v>
      </c>
      <c r="AC16" s="2343"/>
      <c r="AD16" s="2345">
        <f>ROUND(AVERAGE(I16:I$36)/100,4)</f>
        <v>2.1600000000000001E-2</v>
      </c>
      <c r="AE16" s="2345">
        <f>ROUND(AVERAGE(J16:J$36)/100,4)</f>
        <v>1.5299999999999999E-2</v>
      </c>
      <c r="AF16" s="2345">
        <f t="shared" ref="AF16" si="127">AE16</f>
        <v>1.5299999999999999E-2</v>
      </c>
      <c r="AG16" s="2345">
        <f>ROUND(AVERAGE(K16:K$36)/100,4)</f>
        <v>2.3699999999999999E-2</v>
      </c>
      <c r="AH16" s="2345">
        <f>ROUND(AVERAGE(L16:L$36)/100,4)</f>
        <v>1.47E-2</v>
      </c>
    </row>
    <row r="17" spans="1:34">
      <c r="A17" s="2339" t="s">
        <v>2660</v>
      </c>
      <c r="B17" s="2349">
        <f t="shared" si="90"/>
        <v>464.37293017158942</v>
      </c>
      <c r="C17" s="2349">
        <f t="shared" ref="C17" si="128">C18*(1+O17)</f>
        <v>344.73679941385956</v>
      </c>
      <c r="D17" s="2349">
        <f t="shared" ref="D17" si="129">C17</f>
        <v>344.73679941385956</v>
      </c>
      <c r="E17" s="2349">
        <f t="shared" ref="E17" si="130">E18*(1+P17)</f>
        <v>663.2377795103107</v>
      </c>
      <c r="F17" s="2350">
        <f t="shared" ref="F17" si="131">F18*(1+Q17)</f>
        <v>304.75936311478398</v>
      </c>
      <c r="G17" s="3701">
        <v>2018</v>
      </c>
      <c r="H17" s="2347">
        <v>4</v>
      </c>
      <c r="I17" s="2347">
        <v>0.96</v>
      </c>
      <c r="J17" s="2347">
        <v>1.03</v>
      </c>
      <c r="K17" s="2347">
        <v>0.92</v>
      </c>
      <c r="L17" s="2348">
        <v>1.29</v>
      </c>
      <c r="N17" s="2351">
        <f t="shared" si="95"/>
        <v>9.5999999999999992E-3</v>
      </c>
      <c r="O17" s="2352">
        <f t="shared" ref="O17" si="132">J17/100</f>
        <v>1.03E-2</v>
      </c>
      <c r="P17" s="2352">
        <f t="shared" ref="P17" si="133">K17/100</f>
        <v>9.1999999999999998E-3</v>
      </c>
      <c r="Q17" s="2352">
        <f t="shared" ref="Q17" si="134">L17/100</f>
        <v>1.29E-2</v>
      </c>
      <c r="R17" s="2353"/>
      <c r="S17" s="2354"/>
      <c r="T17" s="2355"/>
      <c r="U17" s="2355"/>
      <c r="V17" s="2355"/>
      <c r="X17" s="2325">
        <f>ROUND(SUMPRODUCT(PRODUCT(1+N17:N$35)),4)</f>
        <v>1.5099</v>
      </c>
      <c r="Y17" s="2325">
        <f>ROUND(SUMPRODUCT(PRODUCT(1+O17:O$35)),4)</f>
        <v>1.3372999999999999</v>
      </c>
      <c r="Z17" s="2325">
        <f t="shared" ref="Z17" si="135">Y17</f>
        <v>1.3372999999999999</v>
      </c>
      <c r="AA17" s="2325">
        <f>ROUND(SUMPRODUCT(PRODUCT(1+P17:P$35)),4)</f>
        <v>1.5683</v>
      </c>
      <c r="AB17" s="2325">
        <f>ROUND(SUMPRODUCT(PRODUCT(1+Q17:Q$35)),4)</f>
        <v>1.3255999999999999</v>
      </c>
      <c r="AD17" s="2326">
        <f>ROUND(AVERAGE(I17:I$36)/100,4)</f>
        <v>2.24E-2</v>
      </c>
      <c r="AE17" s="2326">
        <f>ROUND(AVERAGE(J17:J$36)/100,4)</f>
        <v>1.5800000000000002E-2</v>
      </c>
      <c r="AF17" s="2326">
        <f t="shared" ref="AF17" si="136">AE17</f>
        <v>1.5800000000000002E-2</v>
      </c>
      <c r="AG17" s="2326">
        <f>ROUND(AVERAGE(K17:K$36)/100,4)</f>
        <v>2.4500000000000001E-2</v>
      </c>
      <c r="AH17" s="2326">
        <f>ROUND(AVERAGE(L17:L$36)/100,4)</f>
        <v>1.49E-2</v>
      </c>
    </row>
    <row r="18" spans="1:34" s="2358" customFormat="1" ht="14.45" customHeight="1">
      <c r="A18" s="2339" t="s">
        <v>2655</v>
      </c>
      <c r="B18" s="2356">
        <f t="shared" si="90"/>
        <v>459.95733971036987</v>
      </c>
      <c r="C18" s="2356">
        <f t="shared" ref="C18" si="137">C19*(1+O18)</f>
        <v>341.22221064422405</v>
      </c>
      <c r="D18" s="2356">
        <f t="shared" ref="D18" si="138">C18</f>
        <v>341.22221064422405</v>
      </c>
      <c r="E18" s="2356">
        <f t="shared" ref="E18" si="139">E19*(1+P18)</f>
        <v>657.19161663724799</v>
      </c>
      <c r="F18" s="2356">
        <f t="shared" ref="F18" si="140">F19*(1+Q18)</f>
        <v>300.87803644464805</v>
      </c>
      <c r="G18" s="3701"/>
      <c r="H18" s="2341">
        <v>3</v>
      </c>
      <c r="I18" s="2341">
        <v>1.51</v>
      </c>
      <c r="J18" s="2341">
        <v>1.41</v>
      </c>
      <c r="K18" s="2341">
        <v>1.52</v>
      </c>
      <c r="L18" s="2342">
        <v>1.74</v>
      </c>
      <c r="M18" s="2325"/>
      <c r="N18" s="2357">
        <f t="shared" si="95"/>
        <v>1.5100000000000001E-2</v>
      </c>
      <c r="O18" s="2326">
        <f t="shared" ref="O18" si="141">J18/100</f>
        <v>1.41E-2</v>
      </c>
      <c r="P18" s="2326">
        <f t="shared" ref="P18" si="142">K18/100</f>
        <v>1.52E-2</v>
      </c>
      <c r="Q18" s="2326">
        <f t="shared" ref="Q18" si="143">L18/100</f>
        <v>1.7399999999999999E-2</v>
      </c>
      <c r="R18" s="2325"/>
      <c r="S18" s="2357"/>
      <c r="T18" s="2326"/>
      <c r="U18" s="2326"/>
      <c r="V18" s="2326"/>
      <c r="W18" s="2325"/>
      <c r="X18" s="2325">
        <f>ROUND(SUMPRODUCT(PRODUCT(1+N18:N$35)),4)</f>
        <v>1.4956</v>
      </c>
      <c r="Y18" s="2325">
        <f>ROUND(SUMPRODUCT(PRODUCT(1+O18:O$35)),4)</f>
        <v>1.3237000000000001</v>
      </c>
      <c r="Z18" s="2325">
        <f t="shared" ref="Z18" si="144">Y18</f>
        <v>1.3237000000000001</v>
      </c>
      <c r="AA18" s="2325">
        <f>ROUND(SUMPRODUCT(PRODUCT(1+P18:P$35)),4)</f>
        <v>1.554</v>
      </c>
      <c r="AB18" s="2325">
        <f>ROUND(SUMPRODUCT(PRODUCT(1+Q18:Q$35)),4)</f>
        <v>1.3087</v>
      </c>
      <c r="AC18" s="2325"/>
      <c r="AD18" s="2326">
        <f>ROUND(AVERAGE(I18:I$36)/100,4)</f>
        <v>2.3099999999999999E-2</v>
      </c>
      <c r="AE18" s="2326">
        <f>ROUND(AVERAGE(J18:J$36)/100,4)</f>
        <v>1.61E-2</v>
      </c>
      <c r="AF18" s="2326">
        <f t="shared" ref="AF18" si="145">AE18</f>
        <v>1.61E-2</v>
      </c>
      <c r="AG18" s="2326">
        <f>ROUND(AVERAGE(K18:K$36)/100,4)</f>
        <v>2.53E-2</v>
      </c>
      <c r="AH18" s="2326">
        <f>ROUND(AVERAGE(L18:L$36)/100,4)</f>
        <v>1.4999999999999999E-2</v>
      </c>
    </row>
    <row r="19" spans="1:34" s="2358" customFormat="1" ht="14.45" customHeight="1">
      <c r="A19" s="2339" t="s">
        <v>2654</v>
      </c>
      <c r="B19" s="2356">
        <f t="shared" ref="B19:B24" si="146">B20*(1+N19)</f>
        <v>453.11529869999993</v>
      </c>
      <c r="C19" s="2356">
        <f t="shared" ref="C19" si="147">C20*(1+O19)</f>
        <v>336.47787264000004</v>
      </c>
      <c r="D19" s="2356">
        <f t="shared" ref="D19" si="148">C19</f>
        <v>336.47787264000004</v>
      </c>
      <c r="E19" s="2356">
        <f t="shared" ref="E19" si="149">E20*(1+P19)</f>
        <v>647.35186823999993</v>
      </c>
      <c r="F19" s="2356">
        <f t="shared" ref="F19" si="150">F20*(1+Q19)</f>
        <v>295.73229452000004</v>
      </c>
      <c r="G19" s="3701"/>
      <c r="H19" s="2359">
        <v>2</v>
      </c>
      <c r="I19" s="2359">
        <v>1.49</v>
      </c>
      <c r="J19" s="2359">
        <v>0.96</v>
      </c>
      <c r="K19" s="2359">
        <v>1.58</v>
      </c>
      <c r="L19" s="2360">
        <v>2.44</v>
      </c>
      <c r="M19" s="2325"/>
      <c r="N19" s="2357">
        <f t="shared" ref="N19" si="151">I19/100</f>
        <v>1.49E-2</v>
      </c>
      <c r="O19" s="2326">
        <f t="shared" ref="O19" si="152">J19/100</f>
        <v>9.5999999999999992E-3</v>
      </c>
      <c r="P19" s="2326">
        <f t="shared" ref="P19" si="153">K19/100</f>
        <v>1.5800000000000002E-2</v>
      </c>
      <c r="Q19" s="2326">
        <f t="shared" ref="Q19" si="154">L19/100</f>
        <v>2.4399999999999998E-2</v>
      </c>
      <c r="R19" s="2325"/>
      <c r="S19" s="2357"/>
      <c r="T19" s="2326"/>
      <c r="U19" s="2326"/>
      <c r="V19" s="2326"/>
      <c r="W19" s="2325"/>
      <c r="X19" s="2325">
        <f>ROUND(SUMPRODUCT(PRODUCT(1+N19:N$35)),4)</f>
        <v>1.4733000000000001</v>
      </c>
      <c r="Y19" s="2325">
        <f>ROUND(SUMPRODUCT(PRODUCT(1+O19:O$35)),4)</f>
        <v>1.3052999999999999</v>
      </c>
      <c r="Z19" s="2325">
        <f t="shared" ref="Z19" si="155">Y19</f>
        <v>1.3052999999999999</v>
      </c>
      <c r="AA19" s="2325">
        <f>ROUND(SUMPRODUCT(PRODUCT(1+P19:P$35)),4)</f>
        <v>1.5306999999999999</v>
      </c>
      <c r="AB19" s="2325">
        <f>ROUND(SUMPRODUCT(PRODUCT(1+Q19:Q$35)),4)</f>
        <v>1.2863</v>
      </c>
      <c r="AC19" s="2325"/>
      <c r="AD19" s="2326">
        <f>ROUND(AVERAGE(I19:I$36)/100,4)</f>
        <v>2.35E-2</v>
      </c>
      <c r="AE19" s="2326">
        <f>ROUND(AVERAGE(J19:J$36)/100,4)</f>
        <v>1.6199999999999999E-2</v>
      </c>
      <c r="AF19" s="2326">
        <f t="shared" ref="AF19" si="156">AE19</f>
        <v>1.6199999999999999E-2</v>
      </c>
      <c r="AG19" s="2326">
        <f>ROUND(AVERAGE(K19:K$36)/100,4)</f>
        <v>2.5899999999999999E-2</v>
      </c>
      <c r="AH19" s="2326">
        <f>ROUND(AVERAGE(L19:L$36)/100,4)</f>
        <v>1.49E-2</v>
      </c>
    </row>
    <row r="20" spans="1:34" s="2358" customFormat="1" ht="15" customHeight="1" thickBot="1">
      <c r="A20" s="2339" t="s">
        <v>2651</v>
      </c>
      <c r="B20" s="2356">
        <f t="shared" si="146"/>
        <v>446.46299999999997</v>
      </c>
      <c r="C20" s="2356">
        <f t="shared" ref="C20" si="157">C21*(1+O20)</f>
        <v>333.27840000000003</v>
      </c>
      <c r="D20" s="2356">
        <f t="shared" ref="D20:D25" si="158">C20</f>
        <v>333.27840000000003</v>
      </c>
      <c r="E20" s="2356">
        <f t="shared" ref="E20" si="159">E21*(1+P20)</f>
        <v>637.28279999999995</v>
      </c>
      <c r="F20" s="2356">
        <f t="shared" ref="F20" si="160">F21*(1+Q20)</f>
        <v>288.68830000000003</v>
      </c>
      <c r="G20" s="3710"/>
      <c r="H20" s="2341">
        <v>1</v>
      </c>
      <c r="I20" s="2341">
        <v>1.7</v>
      </c>
      <c r="J20" s="2341">
        <v>1.92</v>
      </c>
      <c r="K20" s="2341">
        <v>1.64</v>
      </c>
      <c r="L20" s="2342">
        <v>2.0099999999999998</v>
      </c>
      <c r="M20" s="2325"/>
      <c r="N20" s="2357">
        <f t="shared" ref="N20:N25" si="161">I20/100</f>
        <v>1.7000000000000001E-2</v>
      </c>
      <c r="O20" s="2326">
        <f t="shared" ref="O20" si="162">J20/100</f>
        <v>1.9199999999999998E-2</v>
      </c>
      <c r="P20" s="2326">
        <f t="shared" ref="P20" si="163">K20/100</f>
        <v>1.6399999999999998E-2</v>
      </c>
      <c r="Q20" s="2326">
        <f t="shared" ref="Q20" si="164">L20/100</f>
        <v>2.0099999999999996E-2</v>
      </c>
      <c r="R20" s="2325"/>
      <c r="S20" s="2361">
        <f>B20/B21-1</f>
        <v>1.6999999999999904E-2</v>
      </c>
      <c r="T20" s="2362">
        <f>C20/C21-1</f>
        <v>1.9200000000000106E-2</v>
      </c>
      <c r="U20" s="2362">
        <f>E20/E21-1</f>
        <v>1.639999999999997E-2</v>
      </c>
      <c r="V20" s="2362">
        <f>F20/F21-1</f>
        <v>2.0100000000000007E-2</v>
      </c>
      <c r="W20" s="2325"/>
      <c r="X20" s="2325">
        <f>ROUND(SUMPRODUCT(PRODUCT(1+N20:N$35)),4)</f>
        <v>1.4517</v>
      </c>
      <c r="Y20" s="2325">
        <f>ROUND(SUMPRODUCT(PRODUCT(1+O20:O$35)),4)</f>
        <v>1.2928999999999999</v>
      </c>
      <c r="Z20" s="2325">
        <f t="shared" ref="Z20" si="165">Y20</f>
        <v>1.2928999999999999</v>
      </c>
      <c r="AA20" s="2325">
        <f>ROUND(SUMPRODUCT(PRODUCT(1+P20:P$35)),4)</f>
        <v>1.5068999999999999</v>
      </c>
      <c r="AB20" s="2325">
        <f>ROUND(SUMPRODUCT(PRODUCT(1+Q20:Q$35)),4)</f>
        <v>1.2557</v>
      </c>
      <c r="AC20" s="2325"/>
      <c r="AD20" s="2326">
        <f>ROUND(AVERAGE(I20:I$36)/100,4)</f>
        <v>2.4E-2</v>
      </c>
      <c r="AE20" s="2326">
        <f>ROUND(AVERAGE(J20:J$36)/100,4)</f>
        <v>1.66E-2</v>
      </c>
      <c r="AF20" s="2326">
        <f t="shared" ref="AF20" si="166">AE20</f>
        <v>1.66E-2</v>
      </c>
      <c r="AG20" s="2326">
        <f>ROUND(AVERAGE(K20:K$36)/100,4)</f>
        <v>2.6499999999999999E-2</v>
      </c>
      <c r="AH20" s="2326">
        <f>ROUND(AVERAGE(L20:L$36)/100,4)</f>
        <v>1.43E-2</v>
      </c>
    </row>
    <row r="21" spans="1:34">
      <c r="A21" s="2339" t="s">
        <v>2648</v>
      </c>
      <c r="B21" s="2349">
        <v>439</v>
      </c>
      <c r="C21" s="2349">
        <v>327</v>
      </c>
      <c r="D21" s="2349">
        <f t="shared" si="158"/>
        <v>327</v>
      </c>
      <c r="E21" s="2349">
        <v>627</v>
      </c>
      <c r="F21" s="2350">
        <v>283</v>
      </c>
      <c r="G21" s="3706">
        <v>2017</v>
      </c>
      <c r="H21" s="2347">
        <v>4</v>
      </c>
      <c r="I21" s="2347">
        <v>1.71</v>
      </c>
      <c r="J21" s="2347">
        <v>1.78</v>
      </c>
      <c r="K21" s="2347">
        <v>1.71</v>
      </c>
      <c r="L21" s="2348">
        <v>1.43</v>
      </c>
      <c r="N21" s="2351">
        <f t="shared" si="161"/>
        <v>1.7100000000000001E-2</v>
      </c>
      <c r="O21" s="2352">
        <f t="shared" ref="O21" si="167">J21/100</f>
        <v>1.78E-2</v>
      </c>
      <c r="P21" s="2352">
        <f t="shared" ref="P21" si="168">K21/100</f>
        <v>1.7100000000000001E-2</v>
      </c>
      <c r="Q21" s="2352">
        <f t="shared" ref="Q21" si="169">L21/100</f>
        <v>1.43E-2</v>
      </c>
      <c r="R21" s="2353"/>
      <c r="S21" s="2354"/>
      <c r="T21" s="2355"/>
      <c r="U21" s="2355"/>
      <c r="V21" s="2355"/>
      <c r="X21" s="2325">
        <f>ROUND(SUMPRODUCT(PRODUCT(1+N21:N$35)),4)</f>
        <v>1.4274</v>
      </c>
      <c r="Y21" s="2325">
        <f>ROUND(SUMPRODUCT(PRODUCT(1+O21:O$35)),4)</f>
        <v>1.2685</v>
      </c>
      <c r="Z21" s="2325">
        <f t="shared" si="0"/>
        <v>1.2685</v>
      </c>
      <c r="AA21" s="2325">
        <f>ROUND(SUMPRODUCT(PRODUCT(1+P21:P$35)),4)</f>
        <v>1.4825999999999999</v>
      </c>
      <c r="AB21" s="2325">
        <f>ROUND(SUMPRODUCT(PRODUCT(1+Q21:Q$35)),4)</f>
        <v>1.2309000000000001</v>
      </c>
      <c r="AD21" s="2326">
        <f>ROUND(AVERAGE(I21:I$36)/100,4)</f>
        <v>2.4500000000000001E-2</v>
      </c>
      <c r="AE21" s="2326">
        <f>ROUND(AVERAGE(J21:J$36)/100,4)</f>
        <v>1.6500000000000001E-2</v>
      </c>
      <c r="AF21" s="2326">
        <f t="shared" si="1"/>
        <v>1.6500000000000001E-2</v>
      </c>
      <c r="AG21" s="2326">
        <f>ROUND(AVERAGE(K21:K$36)/100,4)</f>
        <v>2.7099999999999999E-2</v>
      </c>
      <c r="AH21" s="2326">
        <f>ROUND(AVERAGE(L21:L$36)/100,4)</f>
        <v>1.3899999999999999E-2</v>
      </c>
    </row>
    <row r="22" spans="1:34" s="2358" customFormat="1" ht="14.45" customHeight="1">
      <c r="A22" s="2339" t="s">
        <v>2645</v>
      </c>
      <c r="B22" s="2356">
        <f t="shared" si="146"/>
        <v>431.80730811680002</v>
      </c>
      <c r="C22" s="2356">
        <f t="shared" ref="C22" si="170">C23*(1+O22)</f>
        <v>320.57880516480003</v>
      </c>
      <c r="D22" s="2356">
        <f t="shared" si="158"/>
        <v>320.57880516480003</v>
      </c>
      <c r="E22" s="2356">
        <f t="shared" ref="E22:F24" si="171">E23*(1+P22)</f>
        <v>615.96110553196797</v>
      </c>
      <c r="F22" s="2356">
        <f t="shared" si="171"/>
        <v>279.46777300108801</v>
      </c>
      <c r="G22" s="3701"/>
      <c r="H22" s="2341">
        <v>3</v>
      </c>
      <c r="I22" s="2341">
        <v>2.98</v>
      </c>
      <c r="J22" s="2341">
        <v>2.11</v>
      </c>
      <c r="K22" s="2341">
        <v>3.24</v>
      </c>
      <c r="L22" s="2342">
        <v>1.72</v>
      </c>
      <c r="M22" s="2325"/>
      <c r="N22" s="2357">
        <f t="shared" si="161"/>
        <v>2.98E-2</v>
      </c>
      <c r="O22" s="2363">
        <f t="shared" ref="O22" si="172">J22/100</f>
        <v>2.1099999999999997E-2</v>
      </c>
      <c r="P22" s="2363">
        <f t="shared" ref="P22" si="173">K22/100</f>
        <v>3.2400000000000005E-2</v>
      </c>
      <c r="Q22" s="2363">
        <f t="shared" ref="Q22" si="174">L22/100</f>
        <v>1.72E-2</v>
      </c>
      <c r="R22" s="2325"/>
      <c r="S22" s="2357"/>
      <c r="T22" s="2326"/>
      <c r="U22" s="2326"/>
      <c r="V22" s="2326"/>
      <c r="W22" s="2325"/>
      <c r="X22" s="2325">
        <f>ROUND(SUMPRODUCT(PRODUCT(1+N22:N$35)),4)</f>
        <v>1.4034</v>
      </c>
      <c r="Y22" s="2325">
        <f>ROUND(SUMPRODUCT(PRODUCT(1+O22:O$35)),4)</f>
        <v>1.2463</v>
      </c>
      <c r="Z22" s="2325">
        <f t="shared" si="0"/>
        <v>1.2463</v>
      </c>
      <c r="AA22" s="2325">
        <f>ROUND(SUMPRODUCT(PRODUCT(1+P22:P$35)),4)</f>
        <v>1.4577</v>
      </c>
      <c r="AB22" s="2325">
        <f>ROUND(SUMPRODUCT(PRODUCT(1+Q22:Q$35)),4)</f>
        <v>1.2136</v>
      </c>
      <c r="AC22" s="2325"/>
      <c r="AD22" s="2326">
        <f>ROUND(AVERAGE(I22:I$36)/100,4)</f>
        <v>2.4899999999999999E-2</v>
      </c>
      <c r="AE22" s="2326">
        <f>ROUND(AVERAGE(J22:J$36)/100,4)</f>
        <v>1.6400000000000001E-2</v>
      </c>
      <c r="AF22" s="2326">
        <f t="shared" si="1"/>
        <v>1.6400000000000001E-2</v>
      </c>
      <c r="AG22" s="2326">
        <f>ROUND(AVERAGE(K22:K$36)/100,4)</f>
        <v>2.7799999999999998E-2</v>
      </c>
      <c r="AH22" s="2326">
        <f>ROUND(AVERAGE(L22:L$36)/100,4)</f>
        <v>1.3899999999999999E-2</v>
      </c>
    </row>
    <row r="23" spans="1:34" s="2334" customFormat="1" ht="14.45" customHeight="1">
      <c r="A23" s="2339" t="s">
        <v>1189</v>
      </c>
      <c r="B23" s="2356">
        <f t="shared" si="146"/>
        <v>419.31181600000002</v>
      </c>
      <c r="C23" s="2356">
        <f t="shared" ref="C23" si="175">C24*(1+O23)</f>
        <v>313.95436800000004</v>
      </c>
      <c r="D23" s="2356">
        <f t="shared" si="158"/>
        <v>313.95436800000004</v>
      </c>
      <c r="E23" s="2356">
        <f t="shared" si="171"/>
        <v>596.63028431999999</v>
      </c>
      <c r="F23" s="2356">
        <f t="shared" si="171"/>
        <v>274.74220703999998</v>
      </c>
      <c r="G23" s="3701"/>
      <c r="H23" s="2359">
        <v>2</v>
      </c>
      <c r="I23" s="2359">
        <v>3.4</v>
      </c>
      <c r="J23" s="2359">
        <v>2</v>
      </c>
      <c r="K23" s="2359">
        <v>3.82</v>
      </c>
      <c r="L23" s="2360">
        <v>1.68</v>
      </c>
      <c r="M23" s="2325"/>
      <c r="N23" s="2357">
        <f t="shared" si="161"/>
        <v>3.4000000000000002E-2</v>
      </c>
      <c r="O23" s="2363">
        <f t="shared" ref="O23" si="176">J23/100</f>
        <v>0.02</v>
      </c>
      <c r="P23" s="2363">
        <f t="shared" ref="P23" si="177">K23/100</f>
        <v>3.8199999999999998E-2</v>
      </c>
      <c r="Q23" s="2363">
        <f t="shared" ref="Q23" si="178">L23/100</f>
        <v>1.6799999999999999E-2</v>
      </c>
      <c r="R23" s="2325"/>
      <c r="S23" s="2357"/>
      <c r="T23" s="2326"/>
      <c r="U23" s="2326"/>
      <c r="V23" s="2326"/>
      <c r="W23" s="2325"/>
      <c r="X23" s="2364">
        <f>ROUND(SUMPRODUCT(PRODUCT(1+N23:N$35)),4)</f>
        <v>1.3628</v>
      </c>
      <c r="Y23" s="2364">
        <f>ROUND(SUMPRODUCT(PRODUCT(1+O23:O$35)),4)</f>
        <v>1.2205999999999999</v>
      </c>
      <c r="Z23" s="2364">
        <f t="shared" si="0"/>
        <v>1.2205999999999999</v>
      </c>
      <c r="AA23" s="2364">
        <f>ROUND(SUMPRODUCT(PRODUCT(1+P23:P$35)),4)</f>
        <v>1.4118999999999999</v>
      </c>
      <c r="AB23" s="2364">
        <f>ROUND(SUMPRODUCT(PRODUCT(1+Q23:Q$35)),4)</f>
        <v>1.1930000000000001</v>
      </c>
      <c r="AC23" s="2319"/>
      <c r="AD23" s="2365">
        <f>ROUND(AVERAGE(I23:I$36)/100,4)</f>
        <v>2.46E-2</v>
      </c>
      <c r="AE23" s="2365">
        <f>ROUND(AVERAGE(J23:J$36)/100,4)</f>
        <v>1.6E-2</v>
      </c>
      <c r="AF23" s="2365">
        <f t="shared" si="1"/>
        <v>1.6E-2</v>
      </c>
      <c r="AG23" s="2365">
        <f>ROUND(AVERAGE(K23:K$36)/100,4)</f>
        <v>2.75E-2</v>
      </c>
      <c r="AH23" s="2365">
        <f>ROUND(AVERAGE(L23:L$36)/100,4)</f>
        <v>1.37E-2</v>
      </c>
    </row>
    <row r="24" spans="1:34" s="2358" customFormat="1" ht="15" customHeight="1" thickBot="1">
      <c r="A24" s="2339" t="s">
        <v>980</v>
      </c>
      <c r="B24" s="2356">
        <f t="shared" si="146"/>
        <v>405.524</v>
      </c>
      <c r="C24" s="2356">
        <f t="shared" ref="C24" si="179">C25*(1+O24)</f>
        <v>307.79840000000002</v>
      </c>
      <c r="D24" s="2356">
        <f t="shared" si="158"/>
        <v>307.79840000000002</v>
      </c>
      <c r="E24" s="2356">
        <f t="shared" si="171"/>
        <v>574.67759999999998</v>
      </c>
      <c r="F24" s="2356">
        <f t="shared" si="171"/>
        <v>270.20280000000002</v>
      </c>
      <c r="G24" s="3710"/>
      <c r="H24" s="2341">
        <v>1</v>
      </c>
      <c r="I24" s="2341">
        <v>3.45</v>
      </c>
      <c r="J24" s="2341">
        <v>1.92</v>
      </c>
      <c r="K24" s="2341">
        <v>3.92</v>
      </c>
      <c r="L24" s="2342">
        <v>1.58</v>
      </c>
      <c r="M24" s="2325"/>
      <c r="N24" s="2361">
        <f t="shared" si="161"/>
        <v>3.4500000000000003E-2</v>
      </c>
      <c r="O24" s="2362">
        <f t="shared" ref="O24:Q39" si="180">J24/100</f>
        <v>1.9199999999999998E-2</v>
      </c>
      <c r="P24" s="2362">
        <f t="shared" si="180"/>
        <v>3.9199999999999999E-2</v>
      </c>
      <c r="Q24" s="2362">
        <f t="shared" si="180"/>
        <v>1.5800000000000002E-2</v>
      </c>
      <c r="R24" s="2325"/>
      <c r="S24" s="2361">
        <f>B24/B25-1</f>
        <v>3.4499999999999975E-2</v>
      </c>
      <c r="T24" s="2362">
        <f>C24/C25-1</f>
        <v>1.9200000000000106E-2</v>
      </c>
      <c r="U24" s="2362">
        <f>E24/E25-1</f>
        <v>3.9199999999999902E-2</v>
      </c>
      <c r="V24" s="2362">
        <f>F24/F25-1</f>
        <v>1.5800000000000036E-2</v>
      </c>
      <c r="W24" s="2325"/>
      <c r="X24" s="2325">
        <f>ROUND(SUMPRODUCT(PRODUCT(1+N24:N$35)),4)</f>
        <v>1.3180000000000001</v>
      </c>
      <c r="Y24" s="2325">
        <f>ROUND(SUMPRODUCT(PRODUCT(1+O24:O$35)),4)</f>
        <v>1.1966000000000001</v>
      </c>
      <c r="Z24" s="2325">
        <f t="shared" si="0"/>
        <v>1.1966000000000001</v>
      </c>
      <c r="AA24" s="2325">
        <f>ROUND(SUMPRODUCT(PRODUCT(1+P24:P$35)),4)</f>
        <v>1.36</v>
      </c>
      <c r="AB24" s="2325">
        <f>ROUND(SUMPRODUCT(PRODUCT(1+Q24:Q$35)),4)</f>
        <v>1.1733</v>
      </c>
      <c r="AC24" s="2325"/>
      <c r="AD24" s="2326">
        <f>ROUND(AVERAGE(I24:I$36)/100,4)</f>
        <v>2.3900000000000001E-2</v>
      </c>
      <c r="AE24" s="2326">
        <f>ROUND(AVERAGE(J24:J$36)/100,4)</f>
        <v>1.5699999999999999E-2</v>
      </c>
      <c r="AF24" s="2326">
        <f t="shared" si="1"/>
        <v>1.5699999999999999E-2</v>
      </c>
      <c r="AG24" s="2326">
        <f>ROUND(AVERAGE(K24:K$36)/100,4)</f>
        <v>2.6599999999999999E-2</v>
      </c>
      <c r="AH24" s="2326">
        <f>ROUND(AVERAGE(L24:L$36)/100,4)</f>
        <v>1.34E-2</v>
      </c>
    </row>
    <row r="25" spans="1:34">
      <c r="A25" s="2339" t="s">
        <v>981</v>
      </c>
      <c r="B25" s="2349">
        <v>392</v>
      </c>
      <c r="C25" s="2349">
        <v>302</v>
      </c>
      <c r="D25" s="2349">
        <f t="shared" si="158"/>
        <v>302</v>
      </c>
      <c r="E25" s="2349">
        <v>553</v>
      </c>
      <c r="F25" s="2350">
        <v>266</v>
      </c>
      <c r="G25" s="3706">
        <v>2016</v>
      </c>
      <c r="H25" s="2347">
        <v>4</v>
      </c>
      <c r="I25" s="2347">
        <v>4.5599999999999996</v>
      </c>
      <c r="J25" s="2347">
        <v>2.15</v>
      </c>
      <c r="K25" s="2347">
        <v>5.32</v>
      </c>
      <c r="L25" s="2348">
        <v>1.57</v>
      </c>
      <c r="N25" s="2357">
        <f t="shared" si="161"/>
        <v>4.5599999999999995E-2</v>
      </c>
      <c r="O25" s="2326">
        <f t="shared" si="180"/>
        <v>2.1499999999999998E-2</v>
      </c>
      <c r="P25" s="2326">
        <f t="shared" si="180"/>
        <v>5.3200000000000004E-2</v>
      </c>
      <c r="Q25" s="2326">
        <f t="shared" si="180"/>
        <v>1.5700000000000002E-2</v>
      </c>
      <c r="R25" s="2353"/>
      <c r="S25" s="2354"/>
      <c r="T25" s="2355"/>
      <c r="U25" s="2355"/>
      <c r="V25" s="2355"/>
      <c r="X25" s="2325">
        <f>ROUND(SUMPRODUCT(PRODUCT(1+N25:N$35)),4)</f>
        <v>1.274</v>
      </c>
      <c r="Y25" s="2325">
        <f>ROUND(SUMPRODUCT(PRODUCT(1+O25:O$35)),4)</f>
        <v>1.1740999999999999</v>
      </c>
      <c r="Z25" s="2325">
        <f t="shared" si="0"/>
        <v>1.1740999999999999</v>
      </c>
      <c r="AA25" s="2325">
        <f>ROUND(SUMPRODUCT(PRODUCT(1+P25:P$35)),4)</f>
        <v>1.3087</v>
      </c>
      <c r="AB25" s="2325">
        <f>ROUND(SUMPRODUCT(PRODUCT(1+Q25:Q$35)),4)</f>
        <v>1.1551</v>
      </c>
      <c r="AD25" s="2326">
        <f>ROUND(AVERAGE(I25:I$36)/100,4)</f>
        <v>2.3E-2</v>
      </c>
      <c r="AE25" s="2326">
        <f>ROUND(AVERAGE(J25:J$36)/100,4)</f>
        <v>1.55E-2</v>
      </c>
      <c r="AF25" s="2326">
        <f t="shared" ref="AF25:AF34" si="181">AE25</f>
        <v>1.55E-2</v>
      </c>
      <c r="AG25" s="2326">
        <f>ROUND(AVERAGE(K25:K$36)/100,4)</f>
        <v>2.5600000000000001E-2</v>
      </c>
      <c r="AH25" s="2326">
        <f>ROUND(AVERAGE(L25:L$36)/100,4)</f>
        <v>1.32E-2</v>
      </c>
    </row>
    <row r="26" spans="1:34">
      <c r="A26" s="2339" t="s">
        <v>103</v>
      </c>
      <c r="B26" s="2356">
        <f t="shared" ref="B26:C28" si="182">B25/(1+N25)</f>
        <v>374.90436113236416</v>
      </c>
      <c r="C26" s="2356">
        <f t="shared" si="182"/>
        <v>295.64366128242779</v>
      </c>
      <c r="D26" s="2356">
        <f t="shared" ref="D26:D85" si="183">C26</f>
        <v>295.64366128242779</v>
      </c>
      <c r="E26" s="2356">
        <f t="shared" ref="E26:F28" si="184">E25/(1+P25)</f>
        <v>525.06646410938095</v>
      </c>
      <c r="F26" s="2356">
        <f t="shared" si="184"/>
        <v>261.88835286009646</v>
      </c>
      <c r="G26" s="3701"/>
      <c r="H26" s="2341">
        <v>3</v>
      </c>
      <c r="I26" s="2341">
        <v>4.12</v>
      </c>
      <c r="J26" s="2341">
        <v>2</v>
      </c>
      <c r="K26" s="2341">
        <v>4.79</v>
      </c>
      <c r="L26" s="2342">
        <v>1.97</v>
      </c>
      <c r="N26" s="2357">
        <f t="shared" ref="N26:Q60" si="185">I26/100</f>
        <v>4.1200000000000001E-2</v>
      </c>
      <c r="O26" s="2326">
        <f t="shared" si="180"/>
        <v>0.02</v>
      </c>
      <c r="P26" s="2326">
        <f t="shared" si="180"/>
        <v>4.7899999999999998E-2</v>
      </c>
      <c r="Q26" s="2326">
        <f t="shared" si="180"/>
        <v>1.9699999999999999E-2</v>
      </c>
      <c r="R26" s="2353"/>
      <c r="S26" s="2357"/>
      <c r="T26" s="2326"/>
      <c r="U26" s="2326"/>
      <c r="V26" s="2326"/>
      <c r="X26" s="2325">
        <f>ROUND(SUMPRODUCT(PRODUCT(1+N26:N$35)),4)</f>
        <v>1.2184999999999999</v>
      </c>
      <c r="Y26" s="2325">
        <f>ROUND(SUMPRODUCT(PRODUCT(1+O26:O$35)),4)</f>
        <v>1.1494</v>
      </c>
      <c r="Z26" s="2325">
        <f t="shared" si="0"/>
        <v>1.1494</v>
      </c>
      <c r="AA26" s="2325">
        <f>ROUND(SUMPRODUCT(PRODUCT(1+P26:P$35)),4)</f>
        <v>1.2425999999999999</v>
      </c>
      <c r="AB26" s="2325">
        <f>ROUND(SUMPRODUCT(PRODUCT(1+Q26:Q$35)),4)</f>
        <v>1.1372</v>
      </c>
      <c r="AD26" s="2326">
        <f>ROUND(AVERAGE(I26:I$36)/100,4)</f>
        <v>2.0899999999999998E-2</v>
      </c>
      <c r="AE26" s="2326">
        <f>ROUND(AVERAGE(J26:J$36)/100,4)</f>
        <v>1.49E-2</v>
      </c>
      <c r="AF26" s="2326">
        <f t="shared" si="181"/>
        <v>1.49E-2</v>
      </c>
      <c r="AG26" s="2326">
        <f>ROUND(AVERAGE(K26:K$36)/100,4)</f>
        <v>2.3099999999999999E-2</v>
      </c>
      <c r="AH26" s="2326">
        <f>ROUND(AVERAGE(L26:L$36)/100,4)</f>
        <v>1.2999999999999999E-2</v>
      </c>
    </row>
    <row r="27" spans="1:34">
      <c r="A27" s="2339" t="s">
        <v>93</v>
      </c>
      <c r="B27" s="2356">
        <f t="shared" si="182"/>
        <v>360.06949782209392</v>
      </c>
      <c r="C27" s="2356">
        <f t="shared" si="182"/>
        <v>289.84672674747821</v>
      </c>
      <c r="D27" s="2356">
        <f t="shared" si="183"/>
        <v>289.84672674747821</v>
      </c>
      <c r="E27" s="2356">
        <f t="shared" si="184"/>
        <v>501.06543001181495</v>
      </c>
      <c r="F27" s="2356">
        <f t="shared" si="184"/>
        <v>256.82882500744967</v>
      </c>
      <c r="G27" s="3701"/>
      <c r="H27" s="2359">
        <v>2</v>
      </c>
      <c r="I27" s="2359">
        <v>3.85</v>
      </c>
      <c r="J27" s="2359">
        <v>1.95</v>
      </c>
      <c r="K27" s="2359">
        <v>4.4800000000000004</v>
      </c>
      <c r="L27" s="2360">
        <v>1.41</v>
      </c>
      <c r="N27" s="2357">
        <f t="shared" si="185"/>
        <v>3.85E-2</v>
      </c>
      <c r="O27" s="2326">
        <f t="shared" si="180"/>
        <v>1.95E-2</v>
      </c>
      <c r="P27" s="2326">
        <f t="shared" si="180"/>
        <v>4.4800000000000006E-2</v>
      </c>
      <c r="Q27" s="2326">
        <f t="shared" si="180"/>
        <v>1.41E-2</v>
      </c>
      <c r="R27" s="2353"/>
      <c r="S27" s="2357"/>
      <c r="T27" s="2326"/>
      <c r="U27" s="2326"/>
      <c r="V27" s="2326"/>
      <c r="X27" s="2325">
        <f>ROUND(SUMPRODUCT(PRODUCT(1+N27:N$35)),4)</f>
        <v>1.1702999999999999</v>
      </c>
      <c r="Y27" s="2325">
        <f>ROUND(SUMPRODUCT(PRODUCT(1+O27:O$35)),4)</f>
        <v>1.1269</v>
      </c>
      <c r="Z27" s="2325">
        <f t="shared" si="0"/>
        <v>1.1269</v>
      </c>
      <c r="AA27" s="2325">
        <f>ROUND(SUMPRODUCT(PRODUCT(1+P27:P$35)),4)</f>
        <v>1.1858</v>
      </c>
      <c r="AB27" s="2325">
        <f>ROUND(SUMPRODUCT(PRODUCT(1+Q27:Q$35)),4)</f>
        <v>1.1152</v>
      </c>
      <c r="AD27" s="2326">
        <f>ROUND(AVERAGE(I27:I$36)/100,4)</f>
        <v>1.89E-2</v>
      </c>
      <c r="AE27" s="2326">
        <f>ROUND(AVERAGE(J27:J$36)/100,4)</f>
        <v>1.44E-2</v>
      </c>
      <c r="AF27" s="2326">
        <f t="shared" si="181"/>
        <v>1.44E-2</v>
      </c>
      <c r="AG27" s="2326">
        <f>ROUND(AVERAGE(K27:K$36)/100,4)</f>
        <v>2.06E-2</v>
      </c>
      <c r="AH27" s="2326">
        <f>ROUND(AVERAGE(L27:L$36)/100,4)</f>
        <v>1.23E-2</v>
      </c>
    </row>
    <row r="28" spans="1:34" ht="13.5" thickBot="1">
      <c r="A28" s="2339" t="s">
        <v>102</v>
      </c>
      <c r="B28" s="2356">
        <f t="shared" si="182"/>
        <v>346.720748986128</v>
      </c>
      <c r="C28" s="2356">
        <f t="shared" si="182"/>
        <v>284.30282172386285</v>
      </c>
      <c r="D28" s="2356">
        <f t="shared" si="183"/>
        <v>284.30282172386285</v>
      </c>
      <c r="E28" s="2356">
        <f t="shared" si="184"/>
        <v>479.58023546306947</v>
      </c>
      <c r="F28" s="2356">
        <f t="shared" si="184"/>
        <v>253.25788877571213</v>
      </c>
      <c r="G28" s="3702"/>
      <c r="H28" s="2341">
        <v>1</v>
      </c>
      <c r="I28" s="2341">
        <v>4.09</v>
      </c>
      <c r="J28" s="2341">
        <v>2.93</v>
      </c>
      <c r="K28" s="2341">
        <v>4.54</v>
      </c>
      <c r="L28" s="2342">
        <v>1.48</v>
      </c>
      <c r="N28" s="2357">
        <f t="shared" si="185"/>
        <v>4.0899999999999999E-2</v>
      </c>
      <c r="O28" s="2326">
        <f t="shared" si="180"/>
        <v>2.9300000000000003E-2</v>
      </c>
      <c r="P28" s="2326">
        <f t="shared" si="180"/>
        <v>4.5400000000000003E-2</v>
      </c>
      <c r="Q28" s="2326">
        <f t="shared" si="180"/>
        <v>1.4800000000000001E-2</v>
      </c>
      <c r="R28" s="2353"/>
      <c r="S28" s="2361">
        <f>B28/B29-1</f>
        <v>4.1203450408792808E-2</v>
      </c>
      <c r="T28" s="2362">
        <f>C28/C29-1</f>
        <v>2.6363977342465095E-2</v>
      </c>
      <c r="U28" s="2362">
        <f>E28/E29-1</f>
        <v>4.4837114298626357E-2</v>
      </c>
      <c r="V28" s="2362">
        <f>F28/F29-1</f>
        <v>1.7099954922538574E-2</v>
      </c>
      <c r="X28" s="2325">
        <f>ROUND(SUMPRODUCT(PRODUCT(1+N28:N$35)),4)</f>
        <v>1.1269</v>
      </c>
      <c r="Y28" s="2325">
        <f>ROUND(SUMPRODUCT(PRODUCT(1+O28:O$35)),4)</f>
        <v>1.1052999999999999</v>
      </c>
      <c r="Z28" s="2325">
        <f t="shared" si="0"/>
        <v>1.1052999999999999</v>
      </c>
      <c r="AA28" s="2325">
        <f>ROUND(SUMPRODUCT(PRODUCT(1+P28:P$35)),4)</f>
        <v>1.1349</v>
      </c>
      <c r="AB28" s="2325">
        <f>ROUND(SUMPRODUCT(PRODUCT(1+Q28:Q$35)),4)</f>
        <v>1.0996999999999999</v>
      </c>
      <c r="AD28" s="2326">
        <f>ROUND(AVERAGE(I28:I$36)/100,4)</f>
        <v>1.67E-2</v>
      </c>
      <c r="AE28" s="2326">
        <f>ROUND(AVERAGE(J28:J$36)/100,4)</f>
        <v>1.38E-2</v>
      </c>
      <c r="AF28" s="2326">
        <f t="shared" si="181"/>
        <v>1.38E-2</v>
      </c>
      <c r="AG28" s="2326">
        <f>ROUND(AVERAGE(K28:K$36)/100,4)</f>
        <v>1.7899999999999999E-2</v>
      </c>
      <c r="AH28" s="2326">
        <f>ROUND(AVERAGE(L28:L$36)/100,4)</f>
        <v>1.21E-2</v>
      </c>
    </row>
    <row r="29" spans="1:34" ht="13.5" thickBot="1">
      <c r="A29" s="2339" t="s">
        <v>101</v>
      </c>
      <c r="B29" s="2349">
        <v>333</v>
      </c>
      <c r="C29" s="2349">
        <v>277</v>
      </c>
      <c r="D29" s="2349">
        <f t="shared" si="183"/>
        <v>277</v>
      </c>
      <c r="E29" s="2349">
        <v>459</v>
      </c>
      <c r="F29" s="2350">
        <v>249</v>
      </c>
      <c r="G29" s="3700">
        <v>2015</v>
      </c>
      <c r="H29" s="2366">
        <v>4</v>
      </c>
      <c r="I29" s="2366">
        <v>1.63</v>
      </c>
      <c r="J29" s="2366">
        <v>1.1100000000000001</v>
      </c>
      <c r="K29" s="2366">
        <v>1.77</v>
      </c>
      <c r="L29" s="2367">
        <v>1.89</v>
      </c>
      <c r="N29" s="2351">
        <f t="shared" si="185"/>
        <v>1.6299999999999999E-2</v>
      </c>
      <c r="O29" s="2352">
        <f t="shared" si="180"/>
        <v>1.11E-2</v>
      </c>
      <c r="P29" s="2352">
        <f t="shared" si="180"/>
        <v>1.77E-2</v>
      </c>
      <c r="Q29" s="2352">
        <f t="shared" si="180"/>
        <v>1.89E-2</v>
      </c>
      <c r="R29" s="2353"/>
      <c r="X29" s="2325">
        <f>ROUND(SUMPRODUCT(PRODUCT(1+N29:N$35)),4)</f>
        <v>1.0826</v>
      </c>
      <c r="Y29" s="2325">
        <f>ROUND(SUMPRODUCT(PRODUCT(1+O29:O$35)),4)</f>
        <v>1.0738000000000001</v>
      </c>
      <c r="Z29" s="2325">
        <f t="shared" si="0"/>
        <v>1.0738000000000001</v>
      </c>
      <c r="AA29" s="2325">
        <f>ROUND(SUMPRODUCT(PRODUCT(1+P29:P$35)),4)</f>
        <v>1.0855999999999999</v>
      </c>
      <c r="AB29" s="2325">
        <f>ROUND(SUMPRODUCT(PRODUCT(1+Q29:Q$35)),4)</f>
        <v>1.0837000000000001</v>
      </c>
      <c r="AD29" s="2326">
        <f>ROUND(AVERAGE(I29:I$36)/100,4)</f>
        <v>1.37E-2</v>
      </c>
      <c r="AE29" s="2326">
        <f>ROUND(AVERAGE(J29:J$36)/100,4)</f>
        <v>1.1900000000000001E-2</v>
      </c>
      <c r="AF29" s="2326">
        <f t="shared" si="181"/>
        <v>1.1900000000000001E-2</v>
      </c>
      <c r="AG29" s="2326">
        <f>ROUND(AVERAGE(K29:K$36)/100,4)</f>
        <v>1.4500000000000001E-2</v>
      </c>
      <c r="AH29" s="2326">
        <f>ROUND(AVERAGE(L29:L$36)/100,4)</f>
        <v>1.18E-2</v>
      </c>
    </row>
    <row r="30" spans="1:34">
      <c r="A30" s="2339" t="s">
        <v>100</v>
      </c>
      <c r="B30" s="2356">
        <f t="shared" ref="B30:C32" si="186">B29/(1+N29)</f>
        <v>327.65915576109415</v>
      </c>
      <c r="C30" s="2356">
        <f t="shared" si="186"/>
        <v>273.95905449510434</v>
      </c>
      <c r="D30" s="2356">
        <f t="shared" si="183"/>
        <v>273.95905449510434</v>
      </c>
      <c r="E30" s="2356">
        <f t="shared" ref="E30:F32" si="187">E29/(1+P29)</f>
        <v>451.01699911565294</v>
      </c>
      <c r="F30" s="2356">
        <f t="shared" si="187"/>
        <v>244.38119540681129</v>
      </c>
      <c r="G30" s="3701"/>
      <c r="H30" s="2369">
        <v>3</v>
      </c>
      <c r="I30" s="2369">
        <v>1.65</v>
      </c>
      <c r="J30" s="2369">
        <v>0.92</v>
      </c>
      <c r="K30" s="2369">
        <v>1.88</v>
      </c>
      <c r="L30" s="2370">
        <v>1.26</v>
      </c>
      <c r="N30" s="2357">
        <f t="shared" si="185"/>
        <v>1.6500000000000001E-2</v>
      </c>
      <c r="O30" s="2363">
        <f t="shared" si="180"/>
        <v>9.1999999999999998E-3</v>
      </c>
      <c r="P30" s="2363">
        <f t="shared" si="180"/>
        <v>1.8799999999999997E-2</v>
      </c>
      <c r="Q30" s="2363">
        <f t="shared" si="180"/>
        <v>1.26E-2</v>
      </c>
      <c r="R30" s="2353"/>
      <c r="S30" s="2357"/>
      <c r="T30" s="2326"/>
      <c r="U30" s="2326"/>
      <c r="V30" s="2326"/>
      <c r="X30" s="2325">
        <f>ROUND(SUMPRODUCT(PRODUCT(1+N30:N$35)),4)</f>
        <v>1.0651999999999999</v>
      </c>
      <c r="Y30" s="2325">
        <f>ROUND(SUMPRODUCT(PRODUCT(1+O30:O$35)),4)</f>
        <v>1.0621</v>
      </c>
      <c r="Z30" s="2325">
        <f t="shared" si="0"/>
        <v>1.0621</v>
      </c>
      <c r="AA30" s="2325">
        <f>ROUND(SUMPRODUCT(PRODUCT(1+P30:P$35)),4)</f>
        <v>1.0668</v>
      </c>
      <c r="AB30" s="2325">
        <f>ROUND(SUMPRODUCT(PRODUCT(1+Q30:Q$35)),4)</f>
        <v>1.0636000000000001</v>
      </c>
      <c r="AD30" s="2326">
        <f>ROUND(AVERAGE(I30:I$36)/100,4)</f>
        <v>1.3299999999999999E-2</v>
      </c>
      <c r="AE30" s="2326">
        <f>ROUND(AVERAGE(J30:J$36)/100,4)</f>
        <v>1.2E-2</v>
      </c>
      <c r="AF30" s="2326">
        <f t="shared" si="181"/>
        <v>1.2E-2</v>
      </c>
      <c r="AG30" s="2326">
        <f>ROUND(AVERAGE(K30:K$36)/100,4)</f>
        <v>1.4E-2</v>
      </c>
      <c r="AH30" s="2326">
        <f>ROUND(AVERAGE(L30:L$36)/100,4)</f>
        <v>1.0800000000000001E-2</v>
      </c>
    </row>
    <row r="31" spans="1:34">
      <c r="A31" s="2339" t="s">
        <v>99</v>
      </c>
      <c r="B31" s="2356">
        <f t="shared" si="186"/>
        <v>322.34053690220776</v>
      </c>
      <c r="C31" s="2356">
        <f t="shared" si="186"/>
        <v>271.46160770422546</v>
      </c>
      <c r="D31" s="2356">
        <f t="shared" si="183"/>
        <v>271.46160770422546</v>
      </c>
      <c r="E31" s="2356">
        <f t="shared" si="187"/>
        <v>442.69434542172456</v>
      </c>
      <c r="F31" s="2356">
        <f t="shared" si="187"/>
        <v>241.34030753190925</v>
      </c>
      <c r="G31" s="3701"/>
      <c r="H31" s="2359">
        <v>2</v>
      </c>
      <c r="I31" s="2359">
        <v>0.77</v>
      </c>
      <c r="J31" s="2359">
        <v>0.69</v>
      </c>
      <c r="K31" s="2359">
        <v>0.8</v>
      </c>
      <c r="L31" s="2360">
        <v>0.88</v>
      </c>
      <c r="N31" s="2357">
        <f t="shared" si="185"/>
        <v>7.7000000000000002E-3</v>
      </c>
      <c r="O31" s="2363">
        <f t="shared" si="180"/>
        <v>6.8999999999999999E-3</v>
      </c>
      <c r="P31" s="2363">
        <f t="shared" si="180"/>
        <v>8.0000000000000002E-3</v>
      </c>
      <c r="Q31" s="2363">
        <f t="shared" si="180"/>
        <v>8.8000000000000005E-3</v>
      </c>
      <c r="R31" s="2353"/>
      <c r="S31" s="2357"/>
      <c r="T31" s="2326"/>
      <c r="U31" s="2326"/>
      <c r="V31" s="2326"/>
      <c r="X31" s="2325">
        <f>ROUND(SUMPRODUCT(PRODUCT(1+N31:N$35)),4)</f>
        <v>1.048</v>
      </c>
      <c r="Y31" s="2325">
        <f>ROUND(SUMPRODUCT(PRODUCT(1+O31:O$35)),4)</f>
        <v>1.0524</v>
      </c>
      <c r="Z31" s="2325">
        <f t="shared" si="0"/>
        <v>1.0524</v>
      </c>
      <c r="AA31" s="2325">
        <f>ROUND(SUMPRODUCT(PRODUCT(1+P31:P$35)),4)</f>
        <v>1.0470999999999999</v>
      </c>
      <c r="AB31" s="2325">
        <f>ROUND(SUMPRODUCT(PRODUCT(1+Q31:Q$35)),4)</f>
        <v>1.0504</v>
      </c>
      <c r="AD31" s="2326">
        <f>ROUND(AVERAGE(I31:I$36)/100,4)</f>
        <v>1.2800000000000001E-2</v>
      </c>
      <c r="AE31" s="2326">
        <f>ROUND(AVERAGE(J31:J$36)/100,4)</f>
        <v>1.2500000000000001E-2</v>
      </c>
      <c r="AF31" s="2326">
        <f t="shared" si="181"/>
        <v>1.2500000000000001E-2</v>
      </c>
      <c r="AG31" s="2326">
        <f>ROUND(AVERAGE(K31:K$36)/100,4)</f>
        <v>1.32E-2</v>
      </c>
      <c r="AH31" s="2326">
        <f>ROUND(AVERAGE(L31:L$36)/100,4)</f>
        <v>1.0500000000000001E-2</v>
      </c>
    </row>
    <row r="32" spans="1:34">
      <c r="A32" s="2339" t="s">
        <v>98</v>
      </c>
      <c r="B32" s="2356">
        <f t="shared" si="186"/>
        <v>319.87748030386797</v>
      </c>
      <c r="C32" s="2356">
        <f t="shared" si="186"/>
        <v>269.60135833173649</v>
      </c>
      <c r="D32" s="2356">
        <f t="shared" si="183"/>
        <v>269.60135833173649</v>
      </c>
      <c r="E32" s="2356">
        <f t="shared" si="187"/>
        <v>439.18089823583784</v>
      </c>
      <c r="F32" s="2356">
        <f t="shared" si="187"/>
        <v>239.23503918706311</v>
      </c>
      <c r="G32" s="3702"/>
      <c r="H32" s="2341">
        <v>1</v>
      </c>
      <c r="I32" s="2341">
        <v>0.51</v>
      </c>
      <c r="J32" s="2341">
        <v>0.54</v>
      </c>
      <c r="K32" s="2341">
        <v>0.48</v>
      </c>
      <c r="L32" s="2342">
        <v>0.93</v>
      </c>
      <c r="N32" s="2361">
        <f t="shared" si="185"/>
        <v>5.1000000000000004E-3</v>
      </c>
      <c r="O32" s="2362">
        <f t="shared" si="180"/>
        <v>5.4000000000000003E-3</v>
      </c>
      <c r="P32" s="2362">
        <f t="shared" si="180"/>
        <v>4.7999999999999996E-3</v>
      </c>
      <c r="Q32" s="2362">
        <f t="shared" si="180"/>
        <v>9.300000000000001E-3</v>
      </c>
      <c r="R32" s="2353"/>
      <c r="S32" s="2361">
        <f>B32/B33-1</f>
        <v>5.9040261127922822E-3</v>
      </c>
      <c r="T32" s="2362">
        <f>C32/C33-1</f>
        <v>5.9752176557332781E-3</v>
      </c>
      <c r="U32" s="2362">
        <f>E32/E33-1</f>
        <v>4.9906138119859556E-3</v>
      </c>
      <c r="V32" s="2362">
        <f>F32/F33-1</f>
        <v>9.4305450930933787E-3</v>
      </c>
      <c r="X32" s="2325">
        <f>ROUND(SUMPRODUCT(PRODUCT(1+N32:N$35)),4)</f>
        <v>1.0399</v>
      </c>
      <c r="Y32" s="2325">
        <f>ROUND(SUMPRODUCT(PRODUCT(1+O32:O$35)),4)</f>
        <v>1.0451999999999999</v>
      </c>
      <c r="Z32" s="2325">
        <f t="shared" si="0"/>
        <v>1.0451999999999999</v>
      </c>
      <c r="AA32" s="2325">
        <f>ROUND(SUMPRODUCT(PRODUCT(1+P32:P$35)),4)</f>
        <v>1.0387999999999999</v>
      </c>
      <c r="AB32" s="2325">
        <f>ROUND(SUMPRODUCT(PRODUCT(1+Q32:Q$35)),4)</f>
        <v>1.0411999999999999</v>
      </c>
      <c r="AD32" s="2326">
        <f>ROUND(AVERAGE(I32:I$36)/100,4)</f>
        <v>1.38E-2</v>
      </c>
      <c r="AE32" s="2326">
        <f>ROUND(AVERAGE(J32:J$36)/100,4)</f>
        <v>1.3599999999999999E-2</v>
      </c>
      <c r="AF32" s="2326">
        <f t="shared" si="181"/>
        <v>1.3599999999999999E-2</v>
      </c>
      <c r="AG32" s="2326">
        <f>ROUND(AVERAGE(K32:K$36)/100,4)</f>
        <v>1.4200000000000001E-2</v>
      </c>
      <c r="AH32" s="2326">
        <f>ROUND(AVERAGE(L32:L$36)/100,4)</f>
        <v>1.0800000000000001E-2</v>
      </c>
    </row>
    <row r="33" spans="1:34" ht="13.5" thickBot="1">
      <c r="A33" s="2339" t="s">
        <v>97</v>
      </c>
      <c r="B33" s="2371">
        <v>318</v>
      </c>
      <c r="C33" s="2371">
        <v>268</v>
      </c>
      <c r="D33" s="2371">
        <f t="shared" si="183"/>
        <v>268</v>
      </c>
      <c r="E33" s="2371">
        <v>437</v>
      </c>
      <c r="F33" s="2372">
        <v>237</v>
      </c>
      <c r="G33" s="3700">
        <v>2014</v>
      </c>
      <c r="H33" s="2366">
        <v>4</v>
      </c>
      <c r="I33" s="2366">
        <v>0.21</v>
      </c>
      <c r="J33" s="2366">
        <v>0.41</v>
      </c>
      <c r="K33" s="2366">
        <v>0.12</v>
      </c>
      <c r="L33" s="2367">
        <v>0.89</v>
      </c>
      <c r="N33" s="2357">
        <f t="shared" si="185"/>
        <v>2.0999999999999999E-3</v>
      </c>
      <c r="O33" s="2326">
        <f t="shared" si="180"/>
        <v>4.0999999999999995E-3</v>
      </c>
      <c r="P33" s="2326">
        <f t="shared" si="180"/>
        <v>1.1999999999999999E-3</v>
      </c>
      <c r="Q33" s="2326">
        <f t="shared" si="180"/>
        <v>8.8999999999999999E-3</v>
      </c>
      <c r="R33" s="2353"/>
      <c r="S33" s="2354"/>
      <c r="T33" s="2355"/>
      <c r="U33" s="2355"/>
      <c r="V33" s="2355"/>
      <c r="X33" s="2325">
        <f>ROUND(SUMPRODUCT(PRODUCT(1+N33:N$35)),4)</f>
        <v>1.0347</v>
      </c>
      <c r="Y33" s="2325">
        <f>ROUND(SUMPRODUCT(PRODUCT(1+O33:O$35)),4)</f>
        <v>1.0395000000000001</v>
      </c>
      <c r="Z33" s="2325">
        <f t="shared" si="0"/>
        <v>1.0395000000000001</v>
      </c>
      <c r="AA33" s="2325">
        <f>ROUND(SUMPRODUCT(PRODUCT(1+P33:P$35)),4)</f>
        <v>1.0338000000000001</v>
      </c>
      <c r="AB33" s="2325">
        <f>ROUND(SUMPRODUCT(PRODUCT(1+Q33:Q$35)),4)</f>
        <v>1.0316000000000001</v>
      </c>
      <c r="AD33" s="2326">
        <f>ROUND(AVERAGE(I33:I$36)/100,4)</f>
        <v>1.6E-2</v>
      </c>
      <c r="AE33" s="2326">
        <f>ROUND(AVERAGE(J33:J$36)/100,4)</f>
        <v>1.5599999999999999E-2</v>
      </c>
      <c r="AF33" s="2326">
        <f t="shared" si="181"/>
        <v>1.5599999999999999E-2</v>
      </c>
      <c r="AG33" s="2326">
        <f>ROUND(AVERAGE(K33:K$36)/100,4)</f>
        <v>1.66E-2</v>
      </c>
      <c r="AH33" s="2326">
        <f>ROUND(AVERAGE(L33:L$36)/100,4)</f>
        <v>1.12E-2</v>
      </c>
    </row>
    <row r="34" spans="1:34">
      <c r="A34" s="2339" t="s">
        <v>96</v>
      </c>
      <c r="B34" s="2356">
        <f t="shared" ref="B34:C36" si="188">B33/(1+N33)</f>
        <v>317.33359944117353</v>
      </c>
      <c r="C34" s="2356">
        <f t="shared" si="188"/>
        <v>266.90568668459315</v>
      </c>
      <c r="D34" s="2356">
        <f t="shared" si="183"/>
        <v>266.90568668459315</v>
      </c>
      <c r="E34" s="2356">
        <f t="shared" ref="E34:F36" si="189">E33/(1+P33)</f>
        <v>436.47622852576905</v>
      </c>
      <c r="F34" s="2356">
        <f t="shared" si="189"/>
        <v>234.90930716622066</v>
      </c>
      <c r="G34" s="3701"/>
      <c r="H34" s="2373">
        <v>3</v>
      </c>
      <c r="I34" s="2373">
        <v>0.83</v>
      </c>
      <c r="J34" s="2373">
        <v>1.47</v>
      </c>
      <c r="K34" s="2373">
        <v>0.65</v>
      </c>
      <c r="L34" s="2374">
        <v>0.72</v>
      </c>
      <c r="N34" s="2357">
        <f t="shared" si="185"/>
        <v>8.3000000000000001E-3</v>
      </c>
      <c r="O34" s="2326">
        <f t="shared" si="180"/>
        <v>1.47E-2</v>
      </c>
      <c r="P34" s="2326">
        <f t="shared" si="180"/>
        <v>6.5000000000000006E-3</v>
      </c>
      <c r="Q34" s="2326">
        <f t="shared" si="180"/>
        <v>7.1999999999999998E-3</v>
      </c>
      <c r="R34" s="2353"/>
      <c r="S34" s="2357"/>
      <c r="T34" s="2326"/>
      <c r="U34" s="2326"/>
      <c r="V34" s="2326"/>
      <c r="X34" s="2325">
        <f>ROUND(SUMPRODUCT(PRODUCT(1+N34:N$35)),4)</f>
        <v>1.0325</v>
      </c>
      <c r="Y34" s="2325">
        <f>ROUND(SUMPRODUCT(PRODUCT(1+O34:O$35)),4)</f>
        <v>1.0353000000000001</v>
      </c>
      <c r="Z34" s="2325">
        <f t="shared" ref="Z34:Z35" si="190">Y34</f>
        <v>1.0353000000000001</v>
      </c>
      <c r="AA34" s="2325">
        <f>ROUND(SUMPRODUCT(PRODUCT(1+P34:P$35)),4)</f>
        <v>1.0326</v>
      </c>
      <c r="AB34" s="2325">
        <f>ROUND(SUMPRODUCT(PRODUCT(1+Q34:Q$35)),4)</f>
        <v>1.0225</v>
      </c>
      <c r="AD34" s="2326">
        <f>ROUND(AVERAGE(I34:I$36)/100,4)</f>
        <v>2.07E-2</v>
      </c>
      <c r="AE34" s="2326">
        <f>ROUND(AVERAGE(J34:J$36)/100,4)</f>
        <v>1.95E-2</v>
      </c>
      <c r="AF34" s="2326">
        <f t="shared" si="181"/>
        <v>1.95E-2</v>
      </c>
      <c r="AG34" s="2326">
        <f>ROUND(AVERAGE(K34:K$36)/100,4)</f>
        <v>2.1700000000000001E-2</v>
      </c>
      <c r="AH34" s="2326">
        <f>ROUND(AVERAGE(L34:L$36)/100,4)</f>
        <v>1.2E-2</v>
      </c>
    </row>
    <row r="35" spans="1:34" ht="13.5" thickBot="1">
      <c r="A35" s="2339" t="s">
        <v>95</v>
      </c>
      <c r="B35" s="2356">
        <f t="shared" si="188"/>
        <v>314.72141172386546</v>
      </c>
      <c r="C35" s="2356">
        <f t="shared" si="188"/>
        <v>263.03901319069001</v>
      </c>
      <c r="D35" s="2356">
        <f t="shared" si="183"/>
        <v>263.03901319069001</v>
      </c>
      <c r="E35" s="2356">
        <f t="shared" si="189"/>
        <v>433.65745506782821</v>
      </c>
      <c r="F35" s="2356">
        <f t="shared" si="189"/>
        <v>233.23005080045735</v>
      </c>
      <c r="G35" s="3701"/>
      <c r="H35" s="2366">
        <v>2</v>
      </c>
      <c r="I35" s="2366">
        <v>2.4</v>
      </c>
      <c r="J35" s="2366">
        <v>2.0299999999999998</v>
      </c>
      <c r="K35" s="2366">
        <v>2.59</v>
      </c>
      <c r="L35" s="2367">
        <v>1.52</v>
      </c>
      <c r="N35" s="2357">
        <f t="shared" si="185"/>
        <v>2.4E-2</v>
      </c>
      <c r="O35" s="2326">
        <f t="shared" si="180"/>
        <v>2.0299999999999999E-2</v>
      </c>
      <c r="P35" s="2326">
        <f t="shared" si="180"/>
        <v>2.5899999999999999E-2</v>
      </c>
      <c r="Q35" s="2326">
        <f t="shared" si="180"/>
        <v>1.52E-2</v>
      </c>
      <c r="R35" s="2353"/>
      <c r="S35" s="2357"/>
      <c r="T35" s="2326"/>
      <c r="U35" s="2326"/>
      <c r="V35" s="2326"/>
      <c r="X35" s="2325">
        <f>1+N35</f>
        <v>1.024</v>
      </c>
      <c r="Y35" s="2325">
        <f>1+O35</f>
        <v>1.0203</v>
      </c>
      <c r="Z35" s="2325">
        <f t="shared" si="190"/>
        <v>1.0203</v>
      </c>
      <c r="AA35" s="2325">
        <f>1+P35</f>
        <v>1.0259</v>
      </c>
      <c r="AB35" s="2325">
        <f>1+Q35</f>
        <v>1.0152000000000001</v>
      </c>
      <c r="AD35" s="2326">
        <f>ROUND(AVERAGE(I35:I$36)/100,4)</f>
        <v>2.69E-2</v>
      </c>
      <c r="AE35" s="2326">
        <f>ROUND(AVERAGE(J35:J$36)/100,4)</f>
        <v>2.1899999999999999E-2</v>
      </c>
      <c r="AF35" s="2326">
        <f t="shared" ref="AF35" si="191">AE35</f>
        <v>2.1899999999999999E-2</v>
      </c>
      <c r="AG35" s="2326">
        <f>ROUND(AVERAGE(K35:K$36)/100,4)</f>
        <v>2.9399999999999999E-2</v>
      </c>
      <c r="AH35" s="2326">
        <f>ROUND(AVERAGE(L35:L$36)/100,4)</f>
        <v>1.44E-2</v>
      </c>
    </row>
    <row r="36" spans="1:34" s="2379" customFormat="1" ht="13.5" thickBot="1">
      <c r="A36" s="2375" t="s">
        <v>94</v>
      </c>
      <c r="B36" s="2376">
        <f t="shared" si="188"/>
        <v>307.34512863658733</v>
      </c>
      <c r="C36" s="2376">
        <f t="shared" si="188"/>
        <v>257.80556031626975</v>
      </c>
      <c r="D36" s="2376">
        <f t="shared" si="183"/>
        <v>257.80556031626975</v>
      </c>
      <c r="E36" s="2376">
        <f t="shared" si="189"/>
        <v>422.70928459677179</v>
      </c>
      <c r="F36" s="2376">
        <f t="shared" si="189"/>
        <v>229.73803270336617</v>
      </c>
      <c r="G36" s="3702"/>
      <c r="H36" s="2377">
        <v>1</v>
      </c>
      <c r="I36" s="2377">
        <v>2.97</v>
      </c>
      <c r="J36" s="2377">
        <v>2.34</v>
      </c>
      <c r="K36" s="2377">
        <v>3.28</v>
      </c>
      <c r="L36" s="2378">
        <v>1.36</v>
      </c>
      <c r="N36" s="2380">
        <f t="shared" si="185"/>
        <v>2.9700000000000001E-2</v>
      </c>
      <c r="O36" s="2381">
        <f t="shared" si="180"/>
        <v>2.3399999999999997E-2</v>
      </c>
      <c r="P36" s="2381">
        <f t="shared" si="180"/>
        <v>3.2799999999999996E-2</v>
      </c>
      <c r="Q36" s="2381">
        <f t="shared" si="180"/>
        <v>1.3600000000000001E-2</v>
      </c>
      <c r="R36" s="2382"/>
      <c r="S36" s="2383">
        <f>B36/B37-1</f>
        <v>2.7910129219355539E-2</v>
      </c>
      <c r="T36" s="2384">
        <f>C36/C37-1</f>
        <v>2.3037937762975247E-2</v>
      </c>
      <c r="U36" s="2384">
        <f>E36/E37-1</f>
        <v>3.3519033243940788E-2</v>
      </c>
      <c r="V36" s="2384">
        <f>F36/F37-1</f>
        <v>1.2061818076502862E-2</v>
      </c>
      <c r="W36" s="2385" t="s">
        <v>1149</v>
      </c>
      <c r="X36" s="2386">
        <v>1</v>
      </c>
      <c r="Y36" s="2386">
        <v>1</v>
      </c>
      <c r="Z36" s="2386">
        <v>1</v>
      </c>
      <c r="AA36" s="2386">
        <v>1</v>
      </c>
      <c r="AB36" s="2386">
        <v>1</v>
      </c>
      <c r="AD36" s="2381">
        <f>I36/100</f>
        <v>2.9700000000000001E-2</v>
      </c>
      <c r="AE36" s="2381">
        <f>J36/100</f>
        <v>2.3399999999999997E-2</v>
      </c>
      <c r="AF36" s="2381">
        <f>AE36</f>
        <v>2.3399999999999997E-2</v>
      </c>
      <c r="AG36" s="2381">
        <f>K36/100</f>
        <v>3.2799999999999996E-2</v>
      </c>
      <c r="AH36" s="2381">
        <f>L36/100</f>
        <v>1.3600000000000001E-2</v>
      </c>
    </row>
    <row r="37" spans="1:34" ht="13.5" thickBot="1">
      <c r="A37" s="2339" t="s">
        <v>982</v>
      </c>
      <c r="B37" s="2349">
        <v>299</v>
      </c>
      <c r="C37" s="2349">
        <v>252</v>
      </c>
      <c r="D37" s="2349">
        <f t="shared" si="183"/>
        <v>252</v>
      </c>
      <c r="E37" s="2349">
        <v>409</v>
      </c>
      <c r="F37" s="2350">
        <v>227</v>
      </c>
      <c r="G37" s="3707">
        <v>2013</v>
      </c>
      <c r="H37" s="2387">
        <v>4</v>
      </c>
      <c r="I37" s="2387">
        <v>1.83</v>
      </c>
      <c r="J37" s="2387">
        <v>1.68</v>
      </c>
      <c r="K37" s="2387">
        <v>1.97</v>
      </c>
      <c r="L37" s="2388">
        <v>0.87</v>
      </c>
      <c r="N37" s="2351">
        <f t="shared" si="185"/>
        <v>1.83E-2</v>
      </c>
      <c r="O37" s="2352">
        <f t="shared" si="180"/>
        <v>1.6799999999999999E-2</v>
      </c>
      <c r="P37" s="2352">
        <f t="shared" si="180"/>
        <v>1.9699999999999999E-2</v>
      </c>
      <c r="Q37" s="2352">
        <f t="shared" si="180"/>
        <v>8.6999999999999994E-3</v>
      </c>
      <c r="R37" s="2353"/>
      <c r="S37" s="2354"/>
      <c r="T37" s="2355"/>
      <c r="U37" s="2355"/>
      <c r="V37" s="2355"/>
      <c r="X37" s="2355"/>
      <c r="Y37" s="2355"/>
      <c r="Z37" s="2355"/>
    </row>
    <row r="38" spans="1:34">
      <c r="A38" s="2339" t="s">
        <v>983</v>
      </c>
      <c r="B38" s="2356">
        <f t="shared" ref="B38:C40" si="192">B37/(1+N37)</f>
        <v>293.62663262299913</v>
      </c>
      <c r="C38" s="2356">
        <f t="shared" si="192"/>
        <v>247.83634933123525</v>
      </c>
      <c r="D38" s="2356">
        <f t="shared" si="183"/>
        <v>247.83634933123525</v>
      </c>
      <c r="E38" s="2356">
        <f t="shared" ref="E38:F40" si="193">E37/(1+P37)</f>
        <v>401.09836226341076</v>
      </c>
      <c r="F38" s="2356">
        <f t="shared" si="193"/>
        <v>225.04213343908003</v>
      </c>
      <c r="G38" s="3708"/>
      <c r="H38" s="2369">
        <v>3</v>
      </c>
      <c r="I38" s="2369">
        <v>1.86</v>
      </c>
      <c r="J38" s="2369">
        <v>1.72</v>
      </c>
      <c r="K38" s="2369">
        <v>1.98</v>
      </c>
      <c r="L38" s="2370">
        <v>0.88</v>
      </c>
      <c r="N38" s="2357">
        <f t="shared" si="185"/>
        <v>1.8600000000000002E-2</v>
      </c>
      <c r="O38" s="2363">
        <f t="shared" si="180"/>
        <v>1.72E-2</v>
      </c>
      <c r="P38" s="2363">
        <f t="shared" si="180"/>
        <v>1.9799999999999998E-2</v>
      </c>
      <c r="Q38" s="2363">
        <f t="shared" si="180"/>
        <v>8.8000000000000005E-3</v>
      </c>
      <c r="R38" s="2353"/>
      <c r="S38" s="2357"/>
      <c r="T38" s="2326"/>
      <c r="U38" s="2326"/>
      <c r="V38" s="2326"/>
    </row>
    <row r="39" spans="1:34">
      <c r="A39" s="2339" t="s">
        <v>984</v>
      </c>
      <c r="B39" s="2356">
        <f t="shared" si="192"/>
        <v>288.2649053828776</v>
      </c>
      <c r="C39" s="2356">
        <f t="shared" si="192"/>
        <v>243.64564425013293</v>
      </c>
      <c r="D39" s="2356">
        <f t="shared" si="183"/>
        <v>243.64564425013293</v>
      </c>
      <c r="E39" s="2356">
        <f t="shared" si="193"/>
        <v>393.31080825986544</v>
      </c>
      <c r="F39" s="2356">
        <f t="shared" si="193"/>
        <v>223.07903790551154</v>
      </c>
      <c r="G39" s="3708"/>
      <c r="H39" s="2359">
        <v>2</v>
      </c>
      <c r="I39" s="2359">
        <v>2.04</v>
      </c>
      <c r="J39" s="2359">
        <v>2.33</v>
      </c>
      <c r="K39" s="2359">
        <v>2.0699999999999998</v>
      </c>
      <c r="L39" s="2360">
        <v>0.69</v>
      </c>
      <c r="N39" s="2357">
        <f t="shared" si="185"/>
        <v>2.0400000000000001E-2</v>
      </c>
      <c r="O39" s="2363">
        <f t="shared" si="180"/>
        <v>2.3300000000000001E-2</v>
      </c>
      <c r="P39" s="2363">
        <f t="shared" si="180"/>
        <v>2.07E-2</v>
      </c>
      <c r="Q39" s="2363">
        <f t="shared" si="180"/>
        <v>6.8999999999999999E-3</v>
      </c>
      <c r="R39" s="2353"/>
      <c r="S39" s="2357"/>
      <c r="T39" s="2326"/>
      <c r="U39" s="2326"/>
      <c r="V39" s="2326"/>
      <c r="X39" s="2389"/>
      <c r="Y39" s="2390"/>
    </row>
    <row r="40" spans="1:34">
      <c r="A40" s="2339" t="s">
        <v>985</v>
      </c>
      <c r="B40" s="2356">
        <f t="shared" si="192"/>
        <v>282.50186729015837</v>
      </c>
      <c r="C40" s="2356">
        <f t="shared" si="192"/>
        <v>238.09796174155468</v>
      </c>
      <c r="D40" s="2356">
        <f t="shared" si="183"/>
        <v>238.09796174155468</v>
      </c>
      <c r="E40" s="2356">
        <f t="shared" si="193"/>
        <v>385.33438646014054</v>
      </c>
      <c r="F40" s="2356">
        <f t="shared" si="193"/>
        <v>221.55034055567739</v>
      </c>
      <c r="G40" s="3709"/>
      <c r="H40" s="2341">
        <v>1</v>
      </c>
      <c r="I40" s="2341">
        <v>1.67</v>
      </c>
      <c r="J40" s="2341">
        <v>1.31</v>
      </c>
      <c r="K40" s="2341">
        <v>1.85</v>
      </c>
      <c r="L40" s="2342">
        <v>0.96</v>
      </c>
      <c r="N40" s="2361">
        <f t="shared" si="185"/>
        <v>1.67E-2</v>
      </c>
      <c r="O40" s="2362">
        <f t="shared" si="185"/>
        <v>1.3100000000000001E-2</v>
      </c>
      <c r="P40" s="2362">
        <f t="shared" si="185"/>
        <v>1.8500000000000003E-2</v>
      </c>
      <c r="Q40" s="2362">
        <f t="shared" si="185"/>
        <v>9.5999999999999992E-3</v>
      </c>
      <c r="R40" s="2353"/>
      <c r="S40" s="2361">
        <f>B40/B41-1</f>
        <v>1.6193767230785472E-2</v>
      </c>
      <c r="T40" s="2362">
        <f>C40/C41-1</f>
        <v>1.7512657015190891E-2</v>
      </c>
      <c r="U40" s="2362">
        <f>E40/E41-1</f>
        <v>1.6713420739157048E-2</v>
      </c>
      <c r="V40" s="2362">
        <f>F40/F41-1</f>
        <v>7.0470025258062563E-3</v>
      </c>
      <c r="X40" s="2391"/>
      <c r="Y40" s="2326"/>
      <c r="Z40" s="2326"/>
    </row>
    <row r="41" spans="1:34" ht="13.5" thickBot="1">
      <c r="A41" s="2339" t="s">
        <v>986</v>
      </c>
      <c r="B41" s="2392">
        <v>278</v>
      </c>
      <c r="C41" s="2392">
        <v>234</v>
      </c>
      <c r="D41" s="2392">
        <f t="shared" si="183"/>
        <v>234</v>
      </c>
      <c r="E41" s="2392">
        <v>379</v>
      </c>
      <c r="F41" s="2393">
        <v>220</v>
      </c>
      <c r="G41" s="3700">
        <v>2012</v>
      </c>
      <c r="H41" s="2366">
        <v>4</v>
      </c>
      <c r="I41" s="2366">
        <v>0.91</v>
      </c>
      <c r="J41" s="2366">
        <v>0.68</v>
      </c>
      <c r="K41" s="2366">
        <v>0.98</v>
      </c>
      <c r="L41" s="2367">
        <v>0.9</v>
      </c>
      <c r="N41" s="2357">
        <f t="shared" si="185"/>
        <v>9.1000000000000004E-3</v>
      </c>
      <c r="O41" s="2326">
        <f t="shared" si="185"/>
        <v>6.8000000000000005E-3</v>
      </c>
      <c r="P41" s="2326">
        <f t="shared" si="185"/>
        <v>9.7999999999999997E-3</v>
      </c>
      <c r="Q41" s="2326">
        <f t="shared" si="185"/>
        <v>9.0000000000000011E-3</v>
      </c>
      <c r="R41" s="2353"/>
      <c r="S41" s="2354"/>
      <c r="T41" s="2355"/>
      <c r="U41" s="2355"/>
      <c r="V41" s="2355"/>
      <c r="X41" s="2355"/>
      <c r="Y41" s="2355"/>
      <c r="Z41" s="2355"/>
    </row>
    <row r="42" spans="1:34">
      <c r="A42" s="2339" t="s">
        <v>987</v>
      </c>
      <c r="B42" s="2356">
        <f>B41/(1+N41)</f>
        <v>275.49301357645425</v>
      </c>
      <c r="C42" s="2356">
        <f>C41/(1+O41)</f>
        <v>232.41954707985698</v>
      </c>
      <c r="D42" s="2356">
        <f t="shared" si="183"/>
        <v>232.41954707985698</v>
      </c>
      <c r="E42" s="2356">
        <f t="shared" ref="E42:F44" si="194">E41/(1+P41)</f>
        <v>375.32184591008121</v>
      </c>
      <c r="F42" s="2356">
        <f t="shared" si="194"/>
        <v>218.03766105054513</v>
      </c>
      <c r="G42" s="3701"/>
      <c r="H42" s="2369">
        <v>3</v>
      </c>
      <c r="I42" s="2369">
        <v>0.09</v>
      </c>
      <c r="J42" s="2369">
        <v>0.28999999999999998</v>
      </c>
      <c r="K42" s="2369">
        <v>-0.01</v>
      </c>
      <c r="L42" s="2370">
        <v>0.57999999999999996</v>
      </c>
      <c r="N42" s="2357">
        <f t="shared" si="185"/>
        <v>8.9999999999999998E-4</v>
      </c>
      <c r="O42" s="2326">
        <f t="shared" si="185"/>
        <v>2.8999999999999998E-3</v>
      </c>
      <c r="P42" s="2326">
        <f t="shared" si="185"/>
        <v>-1E-4</v>
      </c>
      <c r="Q42" s="2326">
        <f t="shared" si="185"/>
        <v>5.7999999999999996E-3</v>
      </c>
      <c r="R42" s="2353"/>
      <c r="S42" s="2357"/>
      <c r="T42" s="2326"/>
      <c r="U42" s="2326"/>
      <c r="V42" s="2326"/>
    </row>
    <row r="43" spans="1:34">
      <c r="A43" s="2339" t="s">
        <v>988</v>
      </c>
      <c r="B43" s="2356">
        <f>B42/(1+N42)</f>
        <v>275.24529281292263</v>
      </c>
      <c r="C43" s="2356">
        <f>C42/(1+O42)</f>
        <v>231.74747938962707</v>
      </c>
      <c r="D43" s="2356">
        <f t="shared" si="183"/>
        <v>231.74747938962707</v>
      </c>
      <c r="E43" s="2356">
        <f t="shared" si="194"/>
        <v>375.35938184826603</v>
      </c>
      <c r="F43" s="2356">
        <f t="shared" si="194"/>
        <v>216.78033510692495</v>
      </c>
      <c r="G43" s="3701"/>
      <c r="H43" s="2359">
        <v>2</v>
      </c>
      <c r="I43" s="2359">
        <v>0.02</v>
      </c>
      <c r="J43" s="2359">
        <v>0.12</v>
      </c>
      <c r="K43" s="2359">
        <v>-0.08</v>
      </c>
      <c r="L43" s="2360">
        <v>1.24</v>
      </c>
      <c r="N43" s="2357">
        <f t="shared" si="185"/>
        <v>2.0000000000000001E-4</v>
      </c>
      <c r="O43" s="2326">
        <f t="shared" si="185"/>
        <v>1.1999999999999999E-3</v>
      </c>
      <c r="P43" s="2326">
        <f t="shared" si="185"/>
        <v>-8.0000000000000004E-4</v>
      </c>
      <c r="Q43" s="2326">
        <f t="shared" si="185"/>
        <v>1.24E-2</v>
      </c>
      <c r="R43" s="2353"/>
      <c r="S43" s="2357"/>
      <c r="T43" s="2326"/>
      <c r="U43" s="2326"/>
      <c r="V43" s="2326"/>
    </row>
    <row r="44" spans="1:34" ht="13.5" thickBot="1">
      <c r="A44" s="2339" t="s">
        <v>989</v>
      </c>
      <c r="B44" s="2356">
        <f>B43/(1+N43)</f>
        <v>275.19025476197027</v>
      </c>
      <c r="C44" s="2394">
        <v>232</v>
      </c>
      <c r="D44" s="2394">
        <f t="shared" si="183"/>
        <v>232</v>
      </c>
      <c r="E44" s="2356">
        <f t="shared" si="194"/>
        <v>375.65990977608692</v>
      </c>
      <c r="F44" s="2356">
        <f t="shared" si="194"/>
        <v>214.12518283971252</v>
      </c>
      <c r="G44" s="3702"/>
      <c r="H44" s="2341">
        <v>1</v>
      </c>
      <c r="I44" s="2341">
        <v>0.02</v>
      </c>
      <c r="J44" s="2341">
        <v>0.13</v>
      </c>
      <c r="K44" s="2341">
        <v>-0.04</v>
      </c>
      <c r="L44" s="2342">
        <v>0.46</v>
      </c>
      <c r="N44" s="2357">
        <f t="shared" si="185"/>
        <v>2.0000000000000001E-4</v>
      </c>
      <c r="O44" s="2326">
        <f t="shared" si="185"/>
        <v>1.2999999999999999E-3</v>
      </c>
      <c r="P44" s="2326">
        <f t="shared" si="185"/>
        <v>-4.0000000000000002E-4</v>
      </c>
      <c r="Q44" s="2326">
        <f t="shared" si="185"/>
        <v>4.5999999999999999E-3</v>
      </c>
      <c r="R44" s="2353"/>
      <c r="S44" s="2361">
        <f>B44/B45-1</f>
        <v>6.9183549807361189E-4</v>
      </c>
      <c r="T44" s="2362">
        <f>C44/C45-1</f>
        <v>0</v>
      </c>
      <c r="U44" s="2362">
        <f>E44/E45-1</f>
        <v>-9.0449527636460303E-4</v>
      </c>
      <c r="V44" s="2362">
        <f>F44/F45-1</f>
        <v>5.2825485432512753E-3</v>
      </c>
      <c r="X44" s="2326"/>
      <c r="Y44" s="2326"/>
      <c r="Z44" s="2326"/>
    </row>
    <row r="45" spans="1:34" ht="13.5" thickBot="1">
      <c r="A45" s="2339" t="s">
        <v>990</v>
      </c>
      <c r="B45" s="2349">
        <v>275</v>
      </c>
      <c r="C45" s="2349">
        <v>232</v>
      </c>
      <c r="D45" s="2349">
        <f t="shared" si="183"/>
        <v>232</v>
      </c>
      <c r="E45" s="2349">
        <v>376</v>
      </c>
      <c r="F45" s="2350">
        <v>213</v>
      </c>
      <c r="G45" s="3700">
        <v>2011</v>
      </c>
      <c r="H45" s="2366">
        <v>4</v>
      </c>
      <c r="I45" s="2366">
        <v>-0.2</v>
      </c>
      <c r="J45" s="2366">
        <v>0.04</v>
      </c>
      <c r="K45" s="2366">
        <v>-0.34</v>
      </c>
      <c r="L45" s="2367">
        <v>0.46</v>
      </c>
      <c r="N45" s="2351">
        <f t="shared" si="185"/>
        <v>-2E-3</v>
      </c>
      <c r="O45" s="2352">
        <f t="shared" si="185"/>
        <v>4.0000000000000002E-4</v>
      </c>
      <c r="P45" s="2352">
        <f t="shared" si="185"/>
        <v>-3.4000000000000002E-3</v>
      </c>
      <c r="Q45" s="2352">
        <f t="shared" si="185"/>
        <v>4.5999999999999999E-3</v>
      </c>
      <c r="R45" s="2353"/>
      <c r="S45" s="2354"/>
      <c r="T45" s="2355"/>
      <c r="U45" s="2355"/>
      <c r="V45" s="2355"/>
      <c r="X45" s="2355"/>
      <c r="Y45" s="2355"/>
      <c r="Z45" s="2355"/>
    </row>
    <row r="46" spans="1:34">
      <c r="A46" s="2339" t="s">
        <v>991</v>
      </c>
      <c r="B46" s="2356">
        <f t="shared" ref="B46:C48" si="195">B45/(1+N45)</f>
        <v>275.55110220440883</v>
      </c>
      <c r="C46" s="2356">
        <f t="shared" si="195"/>
        <v>231.90723710515795</v>
      </c>
      <c r="D46" s="2356">
        <f t="shared" si="183"/>
        <v>231.90723710515795</v>
      </c>
      <c r="E46" s="2356">
        <f t="shared" ref="E46:F48" si="196">E45/(1+P45)</f>
        <v>377.28276138872161</v>
      </c>
      <c r="F46" s="2356">
        <f t="shared" si="196"/>
        <v>212.02468644236512</v>
      </c>
      <c r="G46" s="3701">
        <v>2011</v>
      </c>
      <c r="H46" s="2369">
        <v>3</v>
      </c>
      <c r="I46" s="2369">
        <v>0.13</v>
      </c>
      <c r="J46" s="2369">
        <v>0.75</v>
      </c>
      <c r="K46" s="2369">
        <v>-0.08</v>
      </c>
      <c r="L46" s="2370">
        <v>0.53</v>
      </c>
      <c r="N46" s="2357">
        <f t="shared" si="185"/>
        <v>1.2999999999999999E-3</v>
      </c>
      <c r="O46" s="2363">
        <f t="shared" si="185"/>
        <v>7.4999999999999997E-3</v>
      </c>
      <c r="P46" s="2363">
        <f t="shared" si="185"/>
        <v>-8.0000000000000004E-4</v>
      </c>
      <c r="Q46" s="2363">
        <f t="shared" si="185"/>
        <v>5.3E-3</v>
      </c>
      <c r="R46" s="2353"/>
      <c r="S46" s="2357"/>
      <c r="T46" s="2326"/>
      <c r="U46" s="2326"/>
      <c r="V46" s="2326"/>
    </row>
    <row r="47" spans="1:34">
      <c r="A47" s="2339" t="s">
        <v>992</v>
      </c>
      <c r="B47" s="2356">
        <f t="shared" si="195"/>
        <v>275.19335084830601</v>
      </c>
      <c r="C47" s="2356">
        <f t="shared" si="195"/>
        <v>230.18088050139744</v>
      </c>
      <c r="D47" s="2356">
        <f t="shared" si="183"/>
        <v>230.18088050139744</v>
      </c>
      <c r="E47" s="2356">
        <f t="shared" si="196"/>
        <v>377.58482925212331</v>
      </c>
      <c r="F47" s="2356">
        <f t="shared" si="196"/>
        <v>210.90687997847917</v>
      </c>
      <c r="G47" s="3701">
        <v>2011</v>
      </c>
      <c r="H47" s="2359">
        <v>2</v>
      </c>
      <c r="I47" s="2359">
        <v>-0.4</v>
      </c>
      <c r="J47" s="2359">
        <v>0.17</v>
      </c>
      <c r="K47" s="2359">
        <v>-0.57999999999999996</v>
      </c>
      <c r="L47" s="2360">
        <v>-0.2</v>
      </c>
      <c r="N47" s="2357">
        <f t="shared" si="185"/>
        <v>-4.0000000000000001E-3</v>
      </c>
      <c r="O47" s="2363">
        <f t="shared" si="185"/>
        <v>1.7000000000000001E-3</v>
      </c>
      <c r="P47" s="2363">
        <f t="shared" si="185"/>
        <v>-5.7999999999999996E-3</v>
      </c>
      <c r="Q47" s="2363">
        <f t="shared" si="185"/>
        <v>-2E-3</v>
      </c>
      <c r="R47" s="2353"/>
      <c r="S47" s="2357"/>
      <c r="T47" s="2326"/>
      <c r="U47" s="2326"/>
      <c r="V47" s="2326"/>
    </row>
    <row r="48" spans="1:34" ht="13.5" thickBot="1">
      <c r="A48" s="2339" t="s">
        <v>993</v>
      </c>
      <c r="B48" s="2356">
        <f t="shared" si="195"/>
        <v>276.29854502841971</v>
      </c>
      <c r="C48" s="2356">
        <f t="shared" si="195"/>
        <v>229.79023709833027</v>
      </c>
      <c r="D48" s="2356">
        <f t="shared" si="183"/>
        <v>229.79023709833027</v>
      </c>
      <c r="E48" s="2356">
        <f t="shared" si="196"/>
        <v>379.78759731655936</v>
      </c>
      <c r="F48" s="2356">
        <f t="shared" si="196"/>
        <v>211.32953905659235</v>
      </c>
      <c r="G48" s="3702">
        <v>2011</v>
      </c>
      <c r="H48" s="2341">
        <v>1</v>
      </c>
      <c r="I48" s="2341">
        <v>2.65</v>
      </c>
      <c r="J48" s="2341">
        <v>3.76</v>
      </c>
      <c r="K48" s="2341">
        <v>1.89</v>
      </c>
      <c r="L48" s="2342">
        <v>7.95</v>
      </c>
      <c r="N48" s="2361">
        <f t="shared" si="185"/>
        <v>2.6499999999999999E-2</v>
      </c>
      <c r="O48" s="2362">
        <f t="shared" si="185"/>
        <v>3.7599999999999995E-2</v>
      </c>
      <c r="P48" s="2362">
        <f t="shared" si="185"/>
        <v>1.89E-2</v>
      </c>
      <c r="Q48" s="2362">
        <f t="shared" si="185"/>
        <v>7.9500000000000001E-2</v>
      </c>
      <c r="R48" s="2353"/>
      <c r="S48" s="2361">
        <f>B48/B49-1</f>
        <v>2.713213765211786E-2</v>
      </c>
      <c r="T48" s="2362">
        <f>C48/C49-1</f>
        <v>3.9774828499231862E-2</v>
      </c>
      <c r="U48" s="2362">
        <f>E48/E49-1</f>
        <v>1.8197311840641772E-2</v>
      </c>
      <c r="V48" s="2362">
        <f>F48/F49-1</f>
        <v>7.8211933962205826E-2</v>
      </c>
      <c r="X48" s="2326"/>
      <c r="Y48" s="2326"/>
      <c r="Z48" s="2326"/>
    </row>
    <row r="49" spans="1:26" ht="13.5" thickBot="1">
      <c r="A49" s="2339" t="s">
        <v>994</v>
      </c>
      <c r="B49" s="2349">
        <v>269</v>
      </c>
      <c r="C49" s="2349">
        <v>221</v>
      </c>
      <c r="D49" s="2349">
        <f t="shared" si="183"/>
        <v>221</v>
      </c>
      <c r="E49" s="2349">
        <v>373</v>
      </c>
      <c r="F49" s="2350">
        <v>196</v>
      </c>
      <c r="G49" s="3700">
        <v>2010</v>
      </c>
      <c r="H49" s="2366">
        <v>4</v>
      </c>
      <c r="I49" s="2366">
        <v>5.72</v>
      </c>
      <c r="J49" s="2366">
        <v>6.57</v>
      </c>
      <c r="K49" s="2366">
        <v>5.72</v>
      </c>
      <c r="L49" s="2367">
        <v>2.72</v>
      </c>
      <c r="N49" s="2357">
        <f t="shared" si="185"/>
        <v>5.7200000000000001E-2</v>
      </c>
      <c r="O49" s="2326">
        <f t="shared" si="185"/>
        <v>6.5700000000000008E-2</v>
      </c>
      <c r="P49" s="2326">
        <f t="shared" si="185"/>
        <v>5.7200000000000001E-2</v>
      </c>
      <c r="Q49" s="2326">
        <f t="shared" si="185"/>
        <v>2.7200000000000002E-2</v>
      </c>
      <c r="R49" s="2353"/>
      <c r="S49" s="2354"/>
      <c r="T49" s="2355"/>
      <c r="U49" s="2355"/>
      <c r="V49" s="2355"/>
      <c r="X49" s="2355"/>
      <c r="Y49" s="2355"/>
      <c r="Z49" s="2355"/>
    </row>
    <row r="50" spans="1:26">
      <c r="A50" s="2339" t="s">
        <v>995</v>
      </c>
      <c r="B50" s="2356">
        <f t="shared" ref="B50:C52" si="197">B49/(1+N49)</f>
        <v>254.44570563753314</v>
      </c>
      <c r="C50" s="2356">
        <f t="shared" si="197"/>
        <v>207.37543398705074</v>
      </c>
      <c r="D50" s="2356">
        <f t="shared" si="183"/>
        <v>207.37543398705074</v>
      </c>
      <c r="E50" s="2356">
        <f t="shared" ref="E50:F52" si="198">E49/(1+P49)</f>
        <v>352.81876655315932</v>
      </c>
      <c r="F50" s="2356">
        <f t="shared" si="198"/>
        <v>190.809968847352</v>
      </c>
      <c r="G50" s="3701">
        <v>2010</v>
      </c>
      <c r="H50" s="2369">
        <v>3</v>
      </c>
      <c r="I50" s="2369">
        <v>4.7300000000000004</v>
      </c>
      <c r="J50" s="2369">
        <v>3.9</v>
      </c>
      <c r="K50" s="2369">
        <v>5.03</v>
      </c>
      <c r="L50" s="2370">
        <v>4.21</v>
      </c>
      <c r="N50" s="2357">
        <f t="shared" si="185"/>
        <v>4.7300000000000002E-2</v>
      </c>
      <c r="O50" s="2326">
        <f t="shared" si="185"/>
        <v>3.9E-2</v>
      </c>
      <c r="P50" s="2326">
        <f t="shared" si="185"/>
        <v>5.0300000000000004E-2</v>
      </c>
      <c r="Q50" s="2326">
        <f t="shared" si="185"/>
        <v>4.2099999999999999E-2</v>
      </c>
      <c r="R50" s="2353"/>
      <c r="S50" s="2357"/>
      <c r="T50" s="2326"/>
      <c r="U50" s="2326"/>
      <c r="V50" s="2326"/>
    </row>
    <row r="51" spans="1:26">
      <c r="A51" s="2339" t="s">
        <v>996</v>
      </c>
      <c r="B51" s="2356">
        <f t="shared" si="197"/>
        <v>242.95398227588385</v>
      </c>
      <c r="C51" s="2356">
        <f t="shared" si="197"/>
        <v>199.59137053614126</v>
      </c>
      <c r="D51" s="2356">
        <f t="shared" si="183"/>
        <v>199.59137053614126</v>
      </c>
      <c r="E51" s="2356">
        <f t="shared" si="198"/>
        <v>335.92189522342125</v>
      </c>
      <c r="F51" s="2356">
        <f t="shared" si="198"/>
        <v>183.10139991109489</v>
      </c>
      <c r="G51" s="3701">
        <v>2010</v>
      </c>
      <c r="H51" s="2359">
        <v>2</v>
      </c>
      <c r="I51" s="2359">
        <v>4.6900000000000004</v>
      </c>
      <c r="J51" s="2359">
        <v>3.55</v>
      </c>
      <c r="K51" s="2359">
        <v>5.07</v>
      </c>
      <c r="L51" s="2360">
        <v>4.2300000000000004</v>
      </c>
      <c r="N51" s="2357">
        <f t="shared" si="185"/>
        <v>4.6900000000000004E-2</v>
      </c>
      <c r="O51" s="2326">
        <f t="shared" si="185"/>
        <v>3.5499999999999997E-2</v>
      </c>
      <c r="P51" s="2326">
        <f t="shared" si="185"/>
        <v>5.0700000000000002E-2</v>
      </c>
      <c r="Q51" s="2326">
        <f t="shared" si="185"/>
        <v>4.2300000000000004E-2</v>
      </c>
      <c r="R51" s="2353"/>
      <c r="S51" s="2357"/>
      <c r="T51" s="2326"/>
      <c r="U51" s="2326"/>
      <c r="V51" s="2326"/>
    </row>
    <row r="52" spans="1:26" ht="13.5" thickBot="1">
      <c r="A52" s="2339" t="s">
        <v>997</v>
      </c>
      <c r="B52" s="2356">
        <f t="shared" si="197"/>
        <v>232.06990378821649</v>
      </c>
      <c r="C52" s="2356">
        <f t="shared" si="197"/>
        <v>192.74878854286936</v>
      </c>
      <c r="D52" s="2356">
        <f t="shared" si="183"/>
        <v>192.74878854286936</v>
      </c>
      <c r="E52" s="2356">
        <f t="shared" si="198"/>
        <v>319.71247284992984</v>
      </c>
      <c r="F52" s="2356">
        <f t="shared" si="198"/>
        <v>175.67053622862409</v>
      </c>
      <c r="G52" s="3702">
        <v>2010</v>
      </c>
      <c r="H52" s="2341">
        <v>1</v>
      </c>
      <c r="I52" s="2341">
        <v>5.4</v>
      </c>
      <c r="J52" s="2341">
        <v>3.2</v>
      </c>
      <c r="K52" s="2341">
        <v>6.16</v>
      </c>
      <c r="L52" s="2342">
        <v>4.51</v>
      </c>
      <c r="N52" s="2357">
        <f t="shared" si="185"/>
        <v>5.4000000000000006E-2</v>
      </c>
      <c r="O52" s="2326">
        <f t="shared" si="185"/>
        <v>3.2000000000000001E-2</v>
      </c>
      <c r="P52" s="2326">
        <f t="shared" si="185"/>
        <v>6.1600000000000002E-2</v>
      </c>
      <c r="Q52" s="2326">
        <f t="shared" si="185"/>
        <v>4.5100000000000001E-2</v>
      </c>
      <c r="R52" s="2353"/>
      <c r="S52" s="2361">
        <f>B52/B53-1</f>
        <v>5.4863199037347599E-2</v>
      </c>
      <c r="T52" s="2362">
        <f>C52/C53-1</f>
        <v>3.0742184721226584E-2</v>
      </c>
      <c r="U52" s="2362">
        <f>E52/E53-1</f>
        <v>6.2167683886810154E-2</v>
      </c>
      <c r="V52" s="2362">
        <f>F52/F53-1</f>
        <v>4.5657953741810031E-2</v>
      </c>
      <c r="X52" s="2326"/>
      <c r="Y52" s="2326"/>
      <c r="Z52" s="2326"/>
    </row>
    <row r="53" spans="1:26" ht="13.5" thickBot="1">
      <c r="A53" s="2339" t="s">
        <v>998</v>
      </c>
      <c r="B53" s="2349">
        <v>220</v>
      </c>
      <c r="C53" s="2349">
        <v>187</v>
      </c>
      <c r="D53" s="2349">
        <f t="shared" si="183"/>
        <v>187</v>
      </c>
      <c r="E53" s="2349">
        <v>301</v>
      </c>
      <c r="F53" s="2350">
        <v>168</v>
      </c>
      <c r="G53" s="3700">
        <v>2009</v>
      </c>
      <c r="H53" s="2366">
        <v>4</v>
      </c>
      <c r="I53" s="2366">
        <v>2.2999999999999998</v>
      </c>
      <c r="J53" s="2366">
        <v>1.04</v>
      </c>
      <c r="K53" s="2366">
        <v>2.84</v>
      </c>
      <c r="L53" s="2367">
        <v>0.67</v>
      </c>
      <c r="N53" s="2351">
        <f t="shared" si="185"/>
        <v>2.3E-2</v>
      </c>
      <c r="O53" s="2352">
        <f t="shared" si="185"/>
        <v>1.04E-2</v>
      </c>
      <c r="P53" s="2352">
        <f t="shared" si="185"/>
        <v>2.8399999999999998E-2</v>
      </c>
      <c r="Q53" s="2352">
        <f t="shared" si="185"/>
        <v>6.7000000000000002E-3</v>
      </c>
      <c r="R53" s="2353"/>
      <c r="S53" s="2354"/>
      <c r="T53" s="2355"/>
      <c r="U53" s="2355"/>
      <c r="V53" s="2355"/>
      <c r="X53" s="2355"/>
      <c r="Y53" s="2355"/>
      <c r="Z53" s="2355"/>
    </row>
    <row r="54" spans="1:26">
      <c r="A54" s="2339" t="s">
        <v>999</v>
      </c>
      <c r="B54" s="2356">
        <f t="shared" ref="B54:C56" si="199">B53/(1+N53)</f>
        <v>215.05376344086022</v>
      </c>
      <c r="C54" s="2356">
        <f t="shared" si="199"/>
        <v>185.0752177355503</v>
      </c>
      <c r="D54" s="2356">
        <f t="shared" si="183"/>
        <v>185.0752177355503</v>
      </c>
      <c r="E54" s="2356">
        <f t="shared" ref="E54:F56" si="200">E53/(1+P53)</f>
        <v>292.68767016725008</v>
      </c>
      <c r="F54" s="2356">
        <f t="shared" si="200"/>
        <v>166.88189132810174</v>
      </c>
      <c r="G54" s="3701">
        <v>2009</v>
      </c>
      <c r="H54" s="2369">
        <v>3</v>
      </c>
      <c r="I54" s="2369">
        <v>2.1</v>
      </c>
      <c r="J54" s="2369">
        <v>1.86</v>
      </c>
      <c r="K54" s="2369">
        <v>2.29</v>
      </c>
      <c r="L54" s="2370">
        <v>0.85</v>
      </c>
      <c r="N54" s="2357">
        <f t="shared" si="185"/>
        <v>2.1000000000000001E-2</v>
      </c>
      <c r="O54" s="2363">
        <f t="shared" si="185"/>
        <v>1.8600000000000002E-2</v>
      </c>
      <c r="P54" s="2363">
        <f t="shared" si="185"/>
        <v>2.29E-2</v>
      </c>
      <c r="Q54" s="2363">
        <f t="shared" si="185"/>
        <v>8.5000000000000006E-3</v>
      </c>
      <c r="R54" s="2353"/>
      <c r="S54" s="2357"/>
      <c r="T54" s="2326"/>
      <c r="U54" s="2326"/>
      <c r="V54" s="2326"/>
    </row>
    <row r="55" spans="1:26">
      <c r="A55" s="2339" t="s">
        <v>1000</v>
      </c>
      <c r="B55" s="2356">
        <f t="shared" si="199"/>
        <v>210.630522469011</v>
      </c>
      <c r="C55" s="2356">
        <f t="shared" si="199"/>
        <v>181.69567812247232</v>
      </c>
      <c r="D55" s="2356">
        <f t="shared" si="183"/>
        <v>181.69567812247232</v>
      </c>
      <c r="E55" s="2356">
        <f t="shared" si="200"/>
        <v>286.13517466736738</v>
      </c>
      <c r="F55" s="2356">
        <f t="shared" si="200"/>
        <v>165.47535084591149</v>
      </c>
      <c r="G55" s="3701">
        <v>2009</v>
      </c>
      <c r="H55" s="2359">
        <v>2</v>
      </c>
      <c r="I55" s="2359">
        <v>0.86</v>
      </c>
      <c r="J55" s="2359">
        <v>-1.1299999999999999</v>
      </c>
      <c r="K55" s="2359">
        <v>1.79</v>
      </c>
      <c r="L55" s="2360">
        <v>-2.0699999999999998</v>
      </c>
      <c r="N55" s="2357">
        <f t="shared" si="185"/>
        <v>8.6E-3</v>
      </c>
      <c r="O55" s="2363">
        <f t="shared" si="185"/>
        <v>-1.1299999999999999E-2</v>
      </c>
      <c r="P55" s="2363">
        <f t="shared" si="185"/>
        <v>1.7899999999999999E-2</v>
      </c>
      <c r="Q55" s="2363">
        <f t="shared" si="185"/>
        <v>-2.07E-2</v>
      </c>
      <c r="R55" s="2353"/>
      <c r="S55" s="2357"/>
      <c r="T55" s="2326"/>
      <c r="U55" s="2326"/>
      <c r="V55" s="2326"/>
    </row>
    <row r="56" spans="1:26">
      <c r="A56" s="2339" t="s">
        <v>1001</v>
      </c>
      <c r="B56" s="2356">
        <f t="shared" si="199"/>
        <v>208.83454537875372</v>
      </c>
      <c r="C56" s="2356">
        <f t="shared" si="199"/>
        <v>183.77230517090351</v>
      </c>
      <c r="D56" s="2356">
        <f t="shared" si="183"/>
        <v>183.77230517090351</v>
      </c>
      <c r="E56" s="2356">
        <f t="shared" si="200"/>
        <v>281.10342338870947</v>
      </c>
      <c r="F56" s="2356">
        <f t="shared" si="200"/>
        <v>168.97309388942256</v>
      </c>
      <c r="G56" s="3702">
        <v>2009</v>
      </c>
      <c r="H56" s="2341">
        <v>1</v>
      </c>
      <c r="I56" s="2341">
        <v>-2.64</v>
      </c>
      <c r="J56" s="2341">
        <v>-2.5299999999999998</v>
      </c>
      <c r="K56" s="2341">
        <v>-3.02</v>
      </c>
      <c r="L56" s="2342">
        <v>1.52</v>
      </c>
      <c r="N56" s="2361">
        <f t="shared" si="185"/>
        <v>-2.64E-2</v>
      </c>
      <c r="O56" s="2362">
        <f t="shared" si="185"/>
        <v>-2.53E-2</v>
      </c>
      <c r="P56" s="2362">
        <f t="shared" si="185"/>
        <v>-3.0200000000000001E-2</v>
      </c>
      <c r="Q56" s="2362">
        <f t="shared" si="185"/>
        <v>1.52E-2</v>
      </c>
      <c r="R56" s="2353"/>
      <c r="S56" s="2361">
        <f>B56/B57-1</f>
        <v>-2.4137638417038754E-2</v>
      </c>
      <c r="T56" s="2362">
        <f>C56/C57-1</f>
        <v>-2.248773845264096E-2</v>
      </c>
      <c r="U56" s="2362">
        <f>E56/E57-1</f>
        <v>-2.7323794502735366E-2</v>
      </c>
      <c r="V56" s="2362">
        <f>F56/F57-1</f>
        <v>1.7910204153148035E-2</v>
      </c>
      <c r="X56" s="2326"/>
      <c r="Y56" s="2326"/>
      <c r="Z56" s="2326"/>
    </row>
    <row r="57" spans="1:26" ht="13.5" thickBot="1">
      <c r="A57" s="2339" t="s">
        <v>1002</v>
      </c>
      <c r="B57" s="2392">
        <v>214</v>
      </c>
      <c r="C57" s="2392">
        <v>188</v>
      </c>
      <c r="D57" s="2392">
        <f t="shared" si="183"/>
        <v>188</v>
      </c>
      <c r="E57" s="2392">
        <v>289</v>
      </c>
      <c r="F57" s="2393">
        <v>166</v>
      </c>
      <c r="G57" s="3700">
        <v>2008</v>
      </c>
      <c r="H57" s="2366">
        <v>4</v>
      </c>
      <c r="I57" s="2366">
        <v>1.73</v>
      </c>
      <c r="J57" s="2366">
        <v>0.03</v>
      </c>
      <c r="K57" s="2366">
        <v>2.59</v>
      </c>
      <c r="L57" s="2367">
        <v>-1.66</v>
      </c>
      <c r="N57" s="2357">
        <f t="shared" si="185"/>
        <v>1.7299999999999999E-2</v>
      </c>
      <c r="O57" s="2326">
        <f t="shared" si="185"/>
        <v>2.9999999999999997E-4</v>
      </c>
      <c r="P57" s="2326">
        <f t="shared" si="185"/>
        <v>2.5899999999999999E-2</v>
      </c>
      <c r="Q57" s="2326">
        <f t="shared" si="185"/>
        <v>-1.66E-2</v>
      </c>
      <c r="R57" s="2353"/>
      <c r="S57" s="2354"/>
      <c r="T57" s="2355"/>
      <c r="U57" s="2355"/>
      <c r="V57" s="2355"/>
      <c r="X57" s="2355"/>
      <c r="Y57" s="2355"/>
      <c r="Z57" s="2355"/>
    </row>
    <row r="58" spans="1:26">
      <c r="A58" s="2339" t="s">
        <v>1003</v>
      </c>
      <c r="B58" s="2356">
        <f t="shared" ref="B58:C60" si="201">B57/(1+N57)</f>
        <v>210.36075887152265</v>
      </c>
      <c r="C58" s="2356">
        <f t="shared" si="201"/>
        <v>187.94361691492554</v>
      </c>
      <c r="D58" s="2356">
        <f t="shared" si="183"/>
        <v>187.94361691492554</v>
      </c>
      <c r="E58" s="2356">
        <f t="shared" ref="E58:F60" si="202">E57/(1+P57)</f>
        <v>281.70386977288234</v>
      </c>
      <c r="F58" s="2356">
        <f t="shared" si="202"/>
        <v>168.80211511083994</v>
      </c>
      <c r="G58" s="3701">
        <v>2008</v>
      </c>
      <c r="H58" s="2369">
        <v>3</v>
      </c>
      <c r="I58" s="2369">
        <v>1.96</v>
      </c>
      <c r="J58" s="2369">
        <v>2.36</v>
      </c>
      <c r="K58" s="2369">
        <v>1.82</v>
      </c>
      <c r="L58" s="2370">
        <v>2.2200000000000002</v>
      </c>
      <c r="N58" s="2357">
        <f t="shared" si="185"/>
        <v>1.9599999999999999E-2</v>
      </c>
      <c r="O58" s="2326">
        <f t="shared" si="185"/>
        <v>2.3599999999999999E-2</v>
      </c>
      <c r="P58" s="2326">
        <f t="shared" si="185"/>
        <v>1.8200000000000001E-2</v>
      </c>
      <c r="Q58" s="2326">
        <f t="shared" si="185"/>
        <v>2.2200000000000001E-2</v>
      </c>
      <c r="R58" s="2353"/>
      <c r="S58" s="2357"/>
      <c r="T58" s="2326"/>
      <c r="U58" s="2326"/>
      <c r="V58" s="2326"/>
    </row>
    <row r="59" spans="1:26">
      <c r="A59" s="2339" t="s">
        <v>1004</v>
      </c>
      <c r="B59" s="2356">
        <f t="shared" si="201"/>
        <v>206.31694671589116</v>
      </c>
      <c r="C59" s="2356">
        <f t="shared" si="201"/>
        <v>183.61041121036101</v>
      </c>
      <c r="D59" s="2356">
        <f t="shared" si="183"/>
        <v>183.61041121036101</v>
      </c>
      <c r="E59" s="2356">
        <f t="shared" si="202"/>
        <v>276.66850301795557</v>
      </c>
      <c r="F59" s="2356">
        <f t="shared" si="202"/>
        <v>165.1360938278614</v>
      </c>
      <c r="G59" s="3701">
        <v>2008</v>
      </c>
      <c r="H59" s="2359">
        <v>2</v>
      </c>
      <c r="I59" s="2359">
        <v>4.93</v>
      </c>
      <c r="J59" s="2359">
        <v>7.38</v>
      </c>
      <c r="K59" s="2359">
        <v>3.98</v>
      </c>
      <c r="L59" s="2360">
        <v>6.86</v>
      </c>
      <c r="N59" s="2357">
        <f t="shared" si="185"/>
        <v>4.9299999999999997E-2</v>
      </c>
      <c r="O59" s="2326">
        <f t="shared" si="185"/>
        <v>7.3800000000000004E-2</v>
      </c>
      <c r="P59" s="2326">
        <f t="shared" si="185"/>
        <v>3.9800000000000002E-2</v>
      </c>
      <c r="Q59" s="2326">
        <f t="shared" si="185"/>
        <v>6.8600000000000008E-2</v>
      </c>
      <c r="R59" s="2353"/>
      <c r="S59" s="2357"/>
      <c r="T59" s="2326"/>
      <c r="U59" s="2326"/>
      <c r="V59" s="2326"/>
    </row>
    <row r="60" spans="1:26" s="2398" customFormat="1" ht="13.5" thickBot="1">
      <c r="A60" s="2339" t="s">
        <v>1005</v>
      </c>
      <c r="B60" s="2395">
        <f t="shared" si="201"/>
        <v>196.62341248059772</v>
      </c>
      <c r="C60" s="2395">
        <f t="shared" si="201"/>
        <v>170.99125648199012</v>
      </c>
      <c r="D60" s="2395">
        <f t="shared" si="183"/>
        <v>170.99125648199012</v>
      </c>
      <c r="E60" s="2395">
        <f t="shared" si="202"/>
        <v>266.07857570490052</v>
      </c>
      <c r="F60" s="2395">
        <f t="shared" si="202"/>
        <v>154.53499328828505</v>
      </c>
      <c r="G60" s="3702">
        <v>2008</v>
      </c>
      <c r="H60" s="2396">
        <v>1</v>
      </c>
      <c r="I60" s="2396">
        <v>4.1399999999999997</v>
      </c>
      <c r="J60" s="2396">
        <v>3.45</v>
      </c>
      <c r="K60" s="2396">
        <v>4.95</v>
      </c>
      <c r="L60" s="2397">
        <v>4.82</v>
      </c>
      <c r="N60" s="2399">
        <f t="shared" si="185"/>
        <v>4.1399999999999999E-2</v>
      </c>
      <c r="O60" s="2400">
        <f t="shared" si="185"/>
        <v>3.4500000000000003E-2</v>
      </c>
      <c r="P60" s="2400">
        <f t="shared" si="185"/>
        <v>4.9500000000000002E-2</v>
      </c>
      <c r="Q60" s="2400">
        <f t="shared" si="185"/>
        <v>4.82E-2</v>
      </c>
      <c r="R60" s="2401"/>
      <c r="S60" s="2399">
        <f>B60/B61-1</f>
        <v>4.5869215322328349E-2</v>
      </c>
      <c r="T60" s="2400">
        <f>C60/C61-1</f>
        <v>3.6310645345394743E-2</v>
      </c>
      <c r="U60" s="2400">
        <f>E60/E61-1</f>
        <v>4.7553447657088688E-2</v>
      </c>
      <c r="V60" s="2400">
        <f>F60/F61-1</f>
        <v>4.4155360055980086E-2</v>
      </c>
      <c r="X60" s="2400"/>
      <c r="Y60" s="2400"/>
      <c r="Z60" s="2400"/>
    </row>
    <row r="61" spans="1:26" ht="13.5" thickBot="1">
      <c r="A61" s="2339" t="s">
        <v>1006</v>
      </c>
      <c r="B61" s="2349">
        <v>188</v>
      </c>
      <c r="C61" s="2349">
        <v>165</v>
      </c>
      <c r="D61" s="2349">
        <f t="shared" si="183"/>
        <v>165</v>
      </c>
      <c r="E61" s="2349">
        <v>254</v>
      </c>
      <c r="F61" s="2350">
        <v>148</v>
      </c>
      <c r="G61" s="3700">
        <v>2007</v>
      </c>
      <c r="H61" s="2402">
        <v>4</v>
      </c>
      <c r="I61" s="2402">
        <v>5.51</v>
      </c>
      <c r="J61" s="2402">
        <v>4.8899999999999997</v>
      </c>
      <c r="K61" s="2402">
        <v>6.43</v>
      </c>
      <c r="L61" s="2403">
        <v>5.36</v>
      </c>
      <c r="N61" s="2404">
        <f t="shared" ref="N61:O64" si="203">B61/B62-1</f>
        <v>4.1339718365245526E-2</v>
      </c>
      <c r="O61" s="2405">
        <f t="shared" si="203"/>
        <v>4.0324492593776018E-2</v>
      </c>
      <c r="P61" s="2405">
        <f t="shared" ref="P61:Q64" si="204">E61/E62-1</f>
        <v>6.1625555347990968E-2</v>
      </c>
      <c r="Q61" s="2405">
        <f t="shared" si="204"/>
        <v>4.6757569250590603E-2</v>
      </c>
      <c r="R61" s="2353"/>
      <c r="S61" s="2354"/>
      <c r="T61" s="2355"/>
      <c r="U61" s="2355"/>
      <c r="V61" s="2355"/>
      <c r="X61" s="2355"/>
      <c r="Y61" s="2355"/>
      <c r="Z61" s="2355"/>
    </row>
    <row r="62" spans="1:26">
      <c r="A62" s="2339" t="s">
        <v>1007</v>
      </c>
      <c r="B62" s="2356">
        <f t="shared" ref="B62:C64" si="205">B63+(B$61-B$65)*I62/SUM(I$61:I$64)</f>
        <v>180.5366651097618</v>
      </c>
      <c r="C62" s="2356">
        <f t="shared" si="205"/>
        <v>158.60435967302453</v>
      </c>
      <c r="D62" s="2356">
        <f t="shared" si="183"/>
        <v>158.60435967302453</v>
      </c>
      <c r="E62" s="2356">
        <f t="shared" ref="E62:F64" si="206">E63+(E$61-E$65)*K62/SUM(K$61:K$64)</f>
        <v>239.25573260785075</v>
      </c>
      <c r="F62" s="2356">
        <f t="shared" si="206"/>
        <v>141.38899430740037</v>
      </c>
      <c r="G62" s="3701">
        <v>2007</v>
      </c>
      <c r="H62" s="2369">
        <v>3</v>
      </c>
      <c r="I62" s="2369">
        <v>8.65</v>
      </c>
      <c r="J62" s="2369">
        <v>8.06</v>
      </c>
      <c r="K62" s="2369">
        <v>9.94</v>
      </c>
      <c r="L62" s="2370">
        <v>5.8</v>
      </c>
      <c r="N62" s="2404">
        <f t="shared" si="203"/>
        <v>6.940217571740015E-2</v>
      </c>
      <c r="O62" s="2405">
        <f t="shared" si="203"/>
        <v>7.1197482471153428E-2</v>
      </c>
      <c r="P62" s="2405">
        <f t="shared" si="204"/>
        <v>0.10529679922579582</v>
      </c>
      <c r="Q62" s="2405">
        <f t="shared" si="204"/>
        <v>5.3292245059512133E-2</v>
      </c>
      <c r="R62" s="2353"/>
      <c r="S62" s="2357"/>
      <c r="T62" s="2326"/>
      <c r="U62" s="2326"/>
      <c r="V62" s="2326"/>
      <c r="X62" s="2406"/>
      <c r="Y62" s="2406"/>
      <c r="Z62" s="2406"/>
    </row>
    <row r="63" spans="1:26">
      <c r="A63" s="2339" t="s">
        <v>1008</v>
      </c>
      <c r="B63" s="2356">
        <f t="shared" si="205"/>
        <v>168.82017748715555</v>
      </c>
      <c r="C63" s="2356">
        <f t="shared" si="205"/>
        <v>148.06267029972753</v>
      </c>
      <c r="D63" s="2356">
        <f t="shared" si="183"/>
        <v>148.06267029972753</v>
      </c>
      <c r="E63" s="2356">
        <f t="shared" si="206"/>
        <v>216.46288379323747</v>
      </c>
      <c r="F63" s="2356">
        <f t="shared" si="206"/>
        <v>134.23529411764704</v>
      </c>
      <c r="G63" s="3701">
        <v>2007</v>
      </c>
      <c r="H63" s="2359">
        <v>2</v>
      </c>
      <c r="I63" s="2359">
        <v>3.67</v>
      </c>
      <c r="J63" s="2359">
        <v>2.3199999999999998</v>
      </c>
      <c r="K63" s="2359">
        <v>5.0199999999999996</v>
      </c>
      <c r="L63" s="2360">
        <v>6.71</v>
      </c>
      <c r="N63" s="2404">
        <f t="shared" si="203"/>
        <v>3.0339138143848032E-2</v>
      </c>
      <c r="O63" s="2405">
        <f t="shared" si="203"/>
        <v>2.0922341588790472E-2</v>
      </c>
      <c r="P63" s="2405">
        <f t="shared" si="204"/>
        <v>5.6164796592717003E-2</v>
      </c>
      <c r="Q63" s="2405">
        <f t="shared" si="204"/>
        <v>6.5704536723887319E-2</v>
      </c>
      <c r="R63" s="2353"/>
      <c r="S63" s="2357"/>
      <c r="T63" s="2326"/>
      <c r="U63" s="2326"/>
      <c r="V63" s="2326"/>
      <c r="X63" s="2406"/>
      <c r="Y63" s="2406"/>
      <c r="Z63" s="2406"/>
    </row>
    <row r="64" spans="1:26">
      <c r="A64" s="2339" t="s">
        <v>1009</v>
      </c>
      <c r="B64" s="2356">
        <f t="shared" si="205"/>
        <v>163.84913591779542</v>
      </c>
      <c r="C64" s="2356">
        <f t="shared" si="205"/>
        <v>145.0283378746594</v>
      </c>
      <c r="D64" s="2356">
        <f t="shared" si="183"/>
        <v>145.0283378746594</v>
      </c>
      <c r="E64" s="2356">
        <f t="shared" si="206"/>
        <v>204.95180722891567</v>
      </c>
      <c r="F64" s="2356">
        <f t="shared" si="206"/>
        <v>125.95920303605313</v>
      </c>
      <c r="G64" s="3702">
        <v>2007</v>
      </c>
      <c r="H64" s="2341">
        <v>1</v>
      </c>
      <c r="I64" s="2341">
        <v>3.58</v>
      </c>
      <c r="J64" s="2341">
        <v>3.08</v>
      </c>
      <c r="K64" s="2341">
        <v>4.34</v>
      </c>
      <c r="L64" s="2342">
        <v>3.21</v>
      </c>
      <c r="N64" s="2407">
        <f t="shared" si="203"/>
        <v>3.0497710174814063E-2</v>
      </c>
      <c r="O64" s="2408">
        <f t="shared" si="203"/>
        <v>2.8569772160704998E-2</v>
      </c>
      <c r="P64" s="2408">
        <f t="shared" si="204"/>
        <v>5.1034908866234296E-2</v>
      </c>
      <c r="Q64" s="2408">
        <f t="shared" si="204"/>
        <v>3.245248390207478E-2</v>
      </c>
      <c r="R64" s="2353"/>
      <c r="S64" s="2361">
        <f>B64/B65-1</f>
        <v>3.0497710174814063E-2</v>
      </c>
      <c r="T64" s="2362">
        <f>C64/C65-1</f>
        <v>2.8569772160704998E-2</v>
      </c>
      <c r="U64" s="2362">
        <f>E64/E65-1</f>
        <v>5.1034908866234296E-2</v>
      </c>
      <c r="V64" s="2362">
        <f>F64/F65-1</f>
        <v>3.245248390207478E-2</v>
      </c>
      <c r="X64" s="2406"/>
      <c r="Y64" s="2406"/>
      <c r="Z64" s="2406"/>
    </row>
    <row r="65" spans="1:26" ht="13.5" thickBot="1">
      <c r="A65" s="2339" t="s">
        <v>1010</v>
      </c>
      <c r="B65" s="2371">
        <v>159</v>
      </c>
      <c r="C65" s="2371">
        <v>141</v>
      </c>
      <c r="D65" s="2371">
        <f t="shared" si="183"/>
        <v>141</v>
      </c>
      <c r="E65" s="2371">
        <v>195</v>
      </c>
      <c r="F65" s="2372">
        <v>122</v>
      </c>
      <c r="G65" s="3700">
        <v>2006</v>
      </c>
      <c r="H65" s="2366">
        <v>4</v>
      </c>
      <c r="I65" s="2366">
        <v>3.79</v>
      </c>
      <c r="J65" s="2366">
        <v>2.21</v>
      </c>
      <c r="K65" s="2366">
        <v>5.65</v>
      </c>
      <c r="L65" s="2367">
        <v>5.41</v>
      </c>
      <c r="N65" s="2404">
        <f t="shared" ref="N65:O68" si="207">I65/SUM(I$65:I$68)*(B$65/B$69-1)</f>
        <v>7.245466462748526E-2</v>
      </c>
      <c r="O65" s="2405">
        <f t="shared" si="207"/>
        <v>2.3237230038062766E-2</v>
      </c>
      <c r="P65" s="2405">
        <f t="shared" ref="P65:Q68" si="208">K65/SUM(K$65:K$68)*(E$65/E$69-1)</f>
        <v>0.16146893866323722</v>
      </c>
      <c r="Q65" s="2405">
        <f t="shared" si="208"/>
        <v>5.0755230321793784E-2</v>
      </c>
      <c r="R65" s="2353"/>
      <c r="S65" s="2354"/>
      <c r="T65" s="2355"/>
      <c r="U65" s="2355"/>
      <c r="V65" s="2355"/>
      <c r="X65" s="2406"/>
      <c r="Y65" s="2406"/>
      <c r="Z65" s="2406"/>
    </row>
    <row r="66" spans="1:26">
      <c r="A66" s="2339" t="s">
        <v>1011</v>
      </c>
      <c r="B66" s="2356">
        <f t="shared" ref="B66:C68" si="209">B67+(B$65-B$69)*I66/SUM(I$65:I$68)</f>
        <v>149.00125628140702</v>
      </c>
      <c r="C66" s="2356">
        <f t="shared" si="209"/>
        <v>137.95592286501378</v>
      </c>
      <c r="D66" s="2356">
        <f t="shared" si="183"/>
        <v>137.95592286501378</v>
      </c>
      <c r="E66" s="2356">
        <f t="shared" ref="E66:F68" si="210">E67+(E$65-E$69)*K66/SUM(K$65:K$68)</f>
        <v>169.97231450719823</v>
      </c>
      <c r="F66" s="2356">
        <f t="shared" si="210"/>
        <v>116.21390374331551</v>
      </c>
      <c r="G66" s="3701">
        <v>2006</v>
      </c>
      <c r="H66" s="2369">
        <v>3</v>
      </c>
      <c r="I66" s="2369">
        <v>0.92</v>
      </c>
      <c r="J66" s="2369">
        <v>1.08</v>
      </c>
      <c r="K66" s="2369">
        <v>0.73</v>
      </c>
      <c r="L66" s="2370">
        <v>1.08</v>
      </c>
      <c r="N66" s="2404">
        <f t="shared" si="207"/>
        <v>1.7587939698492462E-2</v>
      </c>
      <c r="O66" s="2405">
        <f t="shared" si="207"/>
        <v>1.1355750425840628E-2</v>
      </c>
      <c r="P66" s="2405">
        <f t="shared" si="208"/>
        <v>2.0862358446754544E-2</v>
      </c>
      <c r="Q66" s="2405">
        <f t="shared" si="208"/>
        <v>1.0132282578103011E-2</v>
      </c>
      <c r="R66" s="2353"/>
      <c r="S66" s="2357"/>
      <c r="T66" s="2326"/>
      <c r="U66" s="2326"/>
      <c r="V66" s="2326"/>
      <c r="X66" s="2406"/>
      <c r="Y66" s="2406"/>
      <c r="Z66" s="2406"/>
    </row>
    <row r="67" spans="1:26">
      <c r="A67" s="2339" t="s">
        <v>1012</v>
      </c>
      <c r="B67" s="2356">
        <f t="shared" si="209"/>
        <v>146.57412060301507</v>
      </c>
      <c r="C67" s="2356">
        <f t="shared" si="209"/>
        <v>136.46831955922866</v>
      </c>
      <c r="D67" s="2356">
        <f t="shared" si="183"/>
        <v>136.46831955922866</v>
      </c>
      <c r="E67" s="2356">
        <f t="shared" si="210"/>
        <v>166.73864894795128</v>
      </c>
      <c r="F67" s="2356">
        <f t="shared" si="210"/>
        <v>115.05882352941177</v>
      </c>
      <c r="G67" s="3701">
        <v>2006</v>
      </c>
      <c r="H67" s="2359">
        <v>2</v>
      </c>
      <c r="I67" s="2359">
        <v>0.96</v>
      </c>
      <c r="J67" s="2359">
        <v>0.25</v>
      </c>
      <c r="K67" s="2359">
        <v>1.9</v>
      </c>
      <c r="L67" s="2360">
        <v>0.95</v>
      </c>
      <c r="N67" s="2404">
        <f t="shared" si="207"/>
        <v>1.8352632728861701E-2</v>
      </c>
      <c r="O67" s="2405">
        <f t="shared" si="207"/>
        <v>2.6286459319075526E-3</v>
      </c>
      <c r="P67" s="2405">
        <f t="shared" si="208"/>
        <v>5.4299289107991269E-2</v>
      </c>
      <c r="Q67" s="2405">
        <f t="shared" si="208"/>
        <v>8.9126559714794995E-3</v>
      </c>
      <c r="R67" s="2353"/>
      <c r="S67" s="2357"/>
      <c r="T67" s="2326"/>
      <c r="U67" s="2326"/>
      <c r="V67" s="2326"/>
      <c r="X67" s="2406"/>
      <c r="Y67" s="2406"/>
      <c r="Z67" s="2406"/>
    </row>
    <row r="68" spans="1:26">
      <c r="A68" s="2339" t="s">
        <v>1013</v>
      </c>
      <c r="B68" s="2356">
        <f t="shared" si="209"/>
        <v>144.04145728643215</v>
      </c>
      <c r="C68" s="2356">
        <f t="shared" si="209"/>
        <v>136.12396694214877</v>
      </c>
      <c r="D68" s="2356">
        <f t="shared" si="183"/>
        <v>136.12396694214877</v>
      </c>
      <c r="E68" s="2356">
        <f t="shared" si="210"/>
        <v>158.32225913621264</v>
      </c>
      <c r="F68" s="2356">
        <f t="shared" si="210"/>
        <v>114.04278074866311</v>
      </c>
      <c r="G68" s="3702">
        <v>2006</v>
      </c>
      <c r="H68" s="2341">
        <v>1</v>
      </c>
      <c r="I68" s="2341">
        <v>2.29</v>
      </c>
      <c r="J68" s="2341">
        <v>3.72</v>
      </c>
      <c r="K68" s="2341">
        <v>0.75</v>
      </c>
      <c r="L68" s="2342">
        <v>0.04</v>
      </c>
      <c r="N68" s="2407">
        <f t="shared" si="207"/>
        <v>4.3778675988638847E-2</v>
      </c>
      <c r="O68" s="2408">
        <f t="shared" si="207"/>
        <v>3.9114251466784385E-2</v>
      </c>
      <c r="P68" s="2408">
        <f t="shared" si="208"/>
        <v>2.1433929911049188E-2</v>
      </c>
      <c r="Q68" s="2408">
        <f t="shared" si="208"/>
        <v>3.7526972511492629E-4</v>
      </c>
      <c r="R68" s="2353"/>
      <c r="S68" s="2361">
        <f>B68/B69-1</f>
        <v>4.3778675988638716E-2</v>
      </c>
      <c r="T68" s="2362">
        <f>C68/C69-1</f>
        <v>3.91142514667846E-2</v>
      </c>
      <c r="U68" s="2362">
        <f>E68/E69-1</f>
        <v>2.143392991104931E-2</v>
      </c>
      <c r="V68" s="2362">
        <f>F68/F69-1</f>
        <v>3.7526972511492396E-4</v>
      </c>
      <c r="X68" s="2406"/>
      <c r="Y68" s="2406"/>
      <c r="Z68" s="2406"/>
    </row>
    <row r="69" spans="1:26" ht="13.5" thickBot="1">
      <c r="A69" s="2339" t="s">
        <v>1014</v>
      </c>
      <c r="B69" s="2371">
        <v>138</v>
      </c>
      <c r="C69" s="2371">
        <v>131</v>
      </c>
      <c r="D69" s="2371">
        <f t="shared" si="183"/>
        <v>131</v>
      </c>
      <c r="E69" s="2371">
        <v>155</v>
      </c>
      <c r="F69" s="2372">
        <v>114</v>
      </c>
      <c r="G69" s="3700">
        <v>2005</v>
      </c>
      <c r="H69" s="2366">
        <v>4</v>
      </c>
      <c r="I69" s="2366">
        <v>3.29</v>
      </c>
      <c r="J69" s="2366">
        <v>1.44</v>
      </c>
      <c r="K69" s="2366">
        <v>0.66</v>
      </c>
      <c r="L69" s="2367">
        <v>7.78</v>
      </c>
      <c r="N69" s="2404">
        <f t="shared" ref="N69:O72" si="211">I69/SUM(I$69:I$72)*(B$69/B$73-1)</f>
        <v>9.9404603216919935E-2</v>
      </c>
      <c r="O69" s="2405">
        <f t="shared" si="211"/>
        <v>4.7636550760861554E-2</v>
      </c>
      <c r="P69" s="2405">
        <f t="shared" ref="P69:Q72" si="212">K69/SUM(K$69:K$72)*(E$69/E$73-1)</f>
        <v>8.3756345177664976E-2</v>
      </c>
      <c r="Q69" s="2405">
        <f t="shared" si="212"/>
        <v>5.2148766661559584E-2</v>
      </c>
      <c r="R69" s="2353"/>
      <c r="S69" s="2354"/>
      <c r="T69" s="2355"/>
      <c r="U69" s="2355"/>
      <c r="V69" s="2355"/>
      <c r="X69" s="2406"/>
      <c r="Y69" s="2406"/>
      <c r="Z69" s="2406"/>
    </row>
    <row r="70" spans="1:26">
      <c r="A70" s="2339" t="s">
        <v>1015</v>
      </c>
      <c r="B70" s="2356">
        <f t="shared" ref="B70:C72" si="213">B71+(B$69-B$73)*I70/SUM(I$69:I$72)</f>
        <v>125.9720430107527</v>
      </c>
      <c r="C70" s="2356">
        <f t="shared" si="213"/>
        <v>125.1883408071749</v>
      </c>
      <c r="D70" s="2356">
        <f t="shared" si="183"/>
        <v>125.1883408071749</v>
      </c>
      <c r="E70" s="2356">
        <f t="shared" ref="E70:F72" si="214">E71+(E$69-E$73)*K70/SUM(K$69:K$72)</f>
        <v>144.61421319796952</v>
      </c>
      <c r="F70" s="2356">
        <f t="shared" si="214"/>
        <v>108.42008196721311</v>
      </c>
      <c r="G70" s="3701">
        <v>2005</v>
      </c>
      <c r="H70" s="2369">
        <v>3</v>
      </c>
      <c r="I70" s="2369">
        <v>0.46</v>
      </c>
      <c r="J70" s="2369">
        <v>0.32</v>
      </c>
      <c r="K70" s="2369">
        <v>0.42</v>
      </c>
      <c r="L70" s="2370">
        <v>0.64</v>
      </c>
      <c r="N70" s="2404">
        <f t="shared" si="211"/>
        <v>1.3898515951301874E-2</v>
      </c>
      <c r="O70" s="2405">
        <f t="shared" si="211"/>
        <v>1.0585900169080346E-2</v>
      </c>
      <c r="P70" s="2405">
        <f t="shared" si="212"/>
        <v>5.3299492385786795E-2</v>
      </c>
      <c r="Q70" s="2405">
        <f t="shared" si="212"/>
        <v>4.2898728359123568E-3</v>
      </c>
      <c r="R70" s="2353"/>
      <c r="S70" s="2357"/>
      <c r="T70" s="2326"/>
      <c r="U70" s="2326"/>
      <c r="V70" s="2326"/>
      <c r="X70" s="2406"/>
      <c r="Y70" s="2406"/>
      <c r="Z70" s="2406"/>
    </row>
    <row r="71" spans="1:26">
      <c r="A71" s="2339" t="s">
        <v>1016</v>
      </c>
      <c r="B71" s="2356">
        <f t="shared" si="213"/>
        <v>124.29032258064517</v>
      </c>
      <c r="C71" s="2356">
        <f t="shared" si="213"/>
        <v>123.8968609865471</v>
      </c>
      <c r="D71" s="2356">
        <f t="shared" si="183"/>
        <v>123.8968609865471</v>
      </c>
      <c r="E71" s="2356">
        <f t="shared" si="214"/>
        <v>138.00507614213197</v>
      </c>
      <c r="F71" s="2356">
        <f t="shared" si="214"/>
        <v>107.96106557377048</v>
      </c>
      <c r="G71" s="3701">
        <v>2005</v>
      </c>
      <c r="H71" s="2359">
        <v>2</v>
      </c>
      <c r="I71" s="2359">
        <v>0.47</v>
      </c>
      <c r="J71" s="2359">
        <v>0.1</v>
      </c>
      <c r="K71" s="2359">
        <v>0.52</v>
      </c>
      <c r="L71" s="2360">
        <v>0.79</v>
      </c>
      <c r="N71" s="2404">
        <f t="shared" si="211"/>
        <v>1.420065760241713E-2</v>
      </c>
      <c r="O71" s="2405">
        <f t="shared" si="211"/>
        <v>3.3080938028376083E-3</v>
      </c>
      <c r="P71" s="2405">
        <f t="shared" si="212"/>
        <v>6.598984771573603E-2</v>
      </c>
      <c r="Q71" s="2405">
        <f t="shared" si="212"/>
        <v>5.2953117818293153E-3</v>
      </c>
      <c r="R71" s="2353"/>
      <c r="S71" s="2357"/>
      <c r="T71" s="2326"/>
      <c r="U71" s="2326"/>
      <c r="V71" s="2326"/>
      <c r="X71" s="2406"/>
      <c r="Y71" s="2406"/>
      <c r="Z71" s="2406"/>
    </row>
    <row r="72" spans="1:26">
      <c r="A72" s="2339" t="s">
        <v>1017</v>
      </c>
      <c r="B72" s="2356">
        <f t="shared" si="213"/>
        <v>122.57204301075269</v>
      </c>
      <c r="C72" s="2356">
        <f t="shared" si="213"/>
        <v>123.4932735426009</v>
      </c>
      <c r="D72" s="2356">
        <f t="shared" si="183"/>
        <v>123.4932735426009</v>
      </c>
      <c r="E72" s="2356">
        <f t="shared" si="214"/>
        <v>129.82233502538071</v>
      </c>
      <c r="F72" s="2356">
        <f t="shared" si="214"/>
        <v>107.39446721311475</v>
      </c>
      <c r="G72" s="3702">
        <v>2005</v>
      </c>
      <c r="H72" s="2341">
        <v>1</v>
      </c>
      <c r="I72" s="2341">
        <v>0.43</v>
      </c>
      <c r="J72" s="2341">
        <v>0.37</v>
      </c>
      <c r="K72" s="2341">
        <v>0.37</v>
      </c>
      <c r="L72" s="2342">
        <v>0.55000000000000004</v>
      </c>
      <c r="N72" s="2407">
        <f t="shared" si="211"/>
        <v>1.2992090997956099E-2</v>
      </c>
      <c r="O72" s="2408">
        <f t="shared" si="211"/>
        <v>1.2239947070499151E-2</v>
      </c>
      <c r="P72" s="2408">
        <f t="shared" si="212"/>
        <v>4.6954314720812178E-2</v>
      </c>
      <c r="Q72" s="2408">
        <f t="shared" si="212"/>
        <v>3.6866094683621815E-3</v>
      </c>
      <c r="R72" s="2353"/>
      <c r="S72" s="2361">
        <f>B72/B73-1</f>
        <v>1.2992090997956174E-2</v>
      </c>
      <c r="T72" s="2362">
        <f>C72/C73-1</f>
        <v>1.2239947070499246E-2</v>
      </c>
      <c r="U72" s="2362">
        <f>E72/E73-1</f>
        <v>4.695431472081224E-2</v>
      </c>
      <c r="V72" s="2362">
        <f>F72/F73-1</f>
        <v>3.6866094683620787E-3</v>
      </c>
      <c r="X72" s="2406"/>
      <c r="Y72" s="2406"/>
      <c r="Z72" s="2406"/>
    </row>
    <row r="73" spans="1:26" ht="13.5" thickBot="1">
      <c r="A73" s="2339" t="s">
        <v>1018</v>
      </c>
      <c r="B73" s="2392">
        <v>121</v>
      </c>
      <c r="C73" s="2392">
        <v>122</v>
      </c>
      <c r="D73" s="2392">
        <f t="shared" si="183"/>
        <v>122</v>
      </c>
      <c r="E73" s="2392">
        <v>124</v>
      </c>
      <c r="F73" s="2393">
        <v>107</v>
      </c>
      <c r="G73" s="3700">
        <v>2004</v>
      </c>
      <c r="H73" s="2366">
        <v>4</v>
      </c>
      <c r="I73" s="2366">
        <v>0.33</v>
      </c>
      <c r="J73" s="2366">
        <v>0.5</v>
      </c>
      <c r="K73" s="2366">
        <v>0.5</v>
      </c>
      <c r="L73" s="2367">
        <v>0</v>
      </c>
      <c r="N73" s="2404">
        <f t="shared" ref="N73:O76" si="215">I73/SUM(I$73:I$76)*(B$73/B$77-1)</f>
        <v>1.3391770148526898E-2</v>
      </c>
      <c r="O73" s="2405">
        <f t="shared" si="215"/>
        <v>1.063264221158958E-2</v>
      </c>
      <c r="P73" s="2405">
        <f t="shared" ref="P73:Q76" si="216">K73/SUM(K$73:K$76)*(E$73/E$77-1)</f>
        <v>2.2244466688911134E-2</v>
      </c>
      <c r="Q73" s="2405">
        <f t="shared" si="216"/>
        <v>0</v>
      </c>
      <c r="R73" s="2353"/>
      <c r="S73" s="2354"/>
      <c r="T73" s="2355"/>
      <c r="U73" s="2355"/>
      <c r="V73" s="2355"/>
      <c r="X73" s="2406"/>
      <c r="Y73" s="2406"/>
      <c r="Z73" s="2406"/>
    </row>
    <row r="74" spans="1:26">
      <c r="A74" s="2339" t="s">
        <v>1019</v>
      </c>
      <c r="B74" s="2356">
        <f t="shared" ref="B74:C76" si="217">B75+(B$73-B$77)*I74/SUM(I$73:I$76)</f>
        <v>119.51351351351352</v>
      </c>
      <c r="C74" s="2356">
        <f t="shared" si="217"/>
        <v>120.7878787878788</v>
      </c>
      <c r="D74" s="2356">
        <f t="shared" si="183"/>
        <v>120.7878787878788</v>
      </c>
      <c r="E74" s="2356">
        <f t="shared" ref="E74:F76" si="218">E75+(E$73-E$77)*K74/SUM(K$73:K$76)</f>
        <v>121.5975975975976</v>
      </c>
      <c r="F74" s="2356">
        <f t="shared" si="218"/>
        <v>107</v>
      </c>
      <c r="G74" s="3701">
        <v>2004</v>
      </c>
      <c r="H74" s="2369">
        <v>3</v>
      </c>
      <c r="I74" s="2369">
        <v>0.56000000000000005</v>
      </c>
      <c r="J74" s="2369">
        <v>0.8</v>
      </c>
      <c r="K74" s="2369">
        <v>0.83</v>
      </c>
      <c r="L74" s="2370">
        <v>0.06</v>
      </c>
      <c r="N74" s="2404">
        <f t="shared" si="215"/>
        <v>2.2725428130833527E-2</v>
      </c>
      <c r="O74" s="2405">
        <f t="shared" si="215"/>
        <v>1.7012227538543329E-2</v>
      </c>
      <c r="P74" s="2405">
        <f t="shared" si="216"/>
        <v>3.6925814703592477E-2</v>
      </c>
      <c r="Q74" s="2405">
        <f t="shared" si="216"/>
        <v>2.8846153846153744E-2</v>
      </c>
      <c r="R74" s="2353"/>
      <c r="S74" s="2357"/>
      <c r="T74" s="2326"/>
      <c r="U74" s="2326"/>
      <c r="V74" s="2326"/>
      <c r="X74" s="2406"/>
      <c r="Y74" s="2406"/>
      <c r="Z74" s="2406"/>
    </row>
    <row r="75" spans="1:26">
      <c r="A75" s="2339" t="s">
        <v>1020</v>
      </c>
      <c r="B75" s="2356">
        <f t="shared" si="217"/>
        <v>116.99099099099099</v>
      </c>
      <c r="C75" s="2356">
        <f t="shared" si="217"/>
        <v>118.84848484848486</v>
      </c>
      <c r="D75" s="2356">
        <f t="shared" si="183"/>
        <v>118.84848484848486</v>
      </c>
      <c r="E75" s="2356">
        <f t="shared" si="218"/>
        <v>117.60960960960961</v>
      </c>
      <c r="F75" s="2356">
        <f t="shared" si="218"/>
        <v>104</v>
      </c>
      <c r="G75" s="3701">
        <v>2004</v>
      </c>
      <c r="H75" s="2359">
        <v>2</v>
      </c>
      <c r="I75" s="2359">
        <v>1</v>
      </c>
      <c r="J75" s="2359">
        <v>1.5</v>
      </c>
      <c r="K75" s="2359">
        <v>1.5</v>
      </c>
      <c r="L75" s="2360">
        <v>0</v>
      </c>
      <c r="N75" s="2404">
        <f t="shared" si="215"/>
        <v>4.0581121662202721E-2</v>
      </c>
      <c r="O75" s="2405">
        <f t="shared" si="215"/>
        <v>3.1897926634768738E-2</v>
      </c>
      <c r="P75" s="2405">
        <f t="shared" si="216"/>
        <v>6.6733400066733395E-2</v>
      </c>
      <c r="Q75" s="2405">
        <f t="shared" si="216"/>
        <v>0</v>
      </c>
      <c r="R75" s="2353"/>
      <c r="S75" s="2357"/>
      <c r="T75" s="2326"/>
      <c r="U75" s="2326"/>
      <c r="V75" s="2326"/>
      <c r="X75" s="2406"/>
      <c r="Y75" s="2406"/>
      <c r="Z75" s="2406"/>
    </row>
    <row r="76" spans="1:26" s="2398" customFormat="1" ht="13.5" thickBot="1">
      <c r="A76" s="2339" t="s">
        <v>1021</v>
      </c>
      <c r="B76" s="2395">
        <f t="shared" si="217"/>
        <v>112.48648648648648</v>
      </c>
      <c r="C76" s="2395">
        <f t="shared" si="217"/>
        <v>115.21212121212122</v>
      </c>
      <c r="D76" s="2395">
        <f t="shared" si="183"/>
        <v>115.21212121212122</v>
      </c>
      <c r="E76" s="2395">
        <f t="shared" si="218"/>
        <v>110.4024024024024</v>
      </c>
      <c r="F76" s="2395">
        <f t="shared" si="218"/>
        <v>104</v>
      </c>
      <c r="G76" s="3702">
        <v>2004</v>
      </c>
      <c r="H76" s="2396">
        <v>1</v>
      </c>
      <c r="I76" s="2396">
        <v>0.33</v>
      </c>
      <c r="J76" s="2396">
        <v>0.5</v>
      </c>
      <c r="K76" s="2396">
        <v>0.5</v>
      </c>
      <c r="L76" s="2397">
        <v>0</v>
      </c>
      <c r="N76" s="2409">
        <f t="shared" si="215"/>
        <v>1.3391770148526898E-2</v>
      </c>
      <c r="O76" s="2410">
        <f t="shared" si="215"/>
        <v>1.063264221158958E-2</v>
      </c>
      <c r="P76" s="2410">
        <f t="shared" si="216"/>
        <v>2.2244466688911134E-2</v>
      </c>
      <c r="Q76" s="2410">
        <f t="shared" si="216"/>
        <v>0</v>
      </c>
      <c r="R76" s="2401"/>
      <c r="S76" s="2399">
        <f>B76/B77-1</f>
        <v>1.3391770148526883E-2</v>
      </c>
      <c r="T76" s="2400">
        <f>C76/C77-1</f>
        <v>1.063264221158966E-2</v>
      </c>
      <c r="U76" s="2400">
        <f>E76/E77-1</f>
        <v>2.2244466688911224E-2</v>
      </c>
      <c r="V76" s="2400">
        <f>F76/F77-1</f>
        <v>0</v>
      </c>
      <c r="X76" s="2411"/>
      <c r="Y76" s="2411"/>
      <c r="Z76" s="2411"/>
    </row>
    <row r="77" spans="1:26" ht="13.5" thickBot="1">
      <c r="A77" s="2339" t="s">
        <v>1022</v>
      </c>
      <c r="B77" s="2412">
        <v>111</v>
      </c>
      <c r="C77" s="2412">
        <v>114</v>
      </c>
      <c r="D77" s="2412">
        <f t="shared" si="183"/>
        <v>114</v>
      </c>
      <c r="E77" s="2412">
        <v>108</v>
      </c>
      <c r="F77" s="2413">
        <v>104</v>
      </c>
      <c r="G77" s="3700">
        <v>2003</v>
      </c>
      <c r="H77" s="2402">
        <v>4</v>
      </c>
      <c r="I77" s="2414"/>
      <c r="J77" s="2414"/>
      <c r="K77" s="2414"/>
      <c r="L77" s="2414"/>
      <c r="N77" s="2415"/>
      <c r="O77" s="2414"/>
      <c r="P77" s="2414"/>
      <c r="Q77" s="2414"/>
      <c r="S77" s="2415"/>
      <c r="T77" s="2414"/>
      <c r="U77" s="2414"/>
      <c r="V77" s="2414"/>
      <c r="X77" s="2406"/>
      <c r="Y77" s="2406"/>
      <c r="Z77" s="2406"/>
    </row>
    <row r="78" spans="1:26">
      <c r="A78" s="2339" t="s">
        <v>1023</v>
      </c>
      <c r="B78" s="2416">
        <f t="shared" ref="B78:C80" si="219">B79+(B$77-B$81)/4</f>
        <v>109.75</v>
      </c>
      <c r="C78" s="2416">
        <f t="shared" si="219"/>
        <v>112.25</v>
      </c>
      <c r="D78" s="2416">
        <f t="shared" si="183"/>
        <v>112.25</v>
      </c>
      <c r="E78" s="2416">
        <f t="shared" ref="E78:F80" si="220">E79+(E$77-E$81)/4</f>
        <v>107.25</v>
      </c>
      <c r="F78" s="2416">
        <f t="shared" si="220"/>
        <v>103.5</v>
      </c>
      <c r="G78" s="3701">
        <v>2003</v>
      </c>
      <c r="H78" s="2369">
        <v>3</v>
      </c>
      <c r="I78" s="2414"/>
      <c r="J78" s="2414"/>
      <c r="K78" s="2414"/>
      <c r="L78" s="2414"/>
      <c r="X78" s="2406"/>
      <c r="Y78" s="2406"/>
      <c r="Z78" s="2406"/>
    </row>
    <row r="79" spans="1:26">
      <c r="A79" s="2339" t="s">
        <v>1024</v>
      </c>
      <c r="B79" s="2416">
        <f t="shared" si="219"/>
        <v>108.5</v>
      </c>
      <c r="C79" s="2416">
        <f t="shared" si="219"/>
        <v>110.5</v>
      </c>
      <c r="D79" s="2416">
        <f t="shared" si="183"/>
        <v>110.5</v>
      </c>
      <c r="E79" s="2416">
        <f t="shared" si="220"/>
        <v>106.5</v>
      </c>
      <c r="F79" s="2416">
        <f t="shared" si="220"/>
        <v>103</v>
      </c>
      <c r="G79" s="3701">
        <v>2003</v>
      </c>
      <c r="H79" s="2359">
        <v>2</v>
      </c>
      <c r="I79" s="2414"/>
      <c r="J79" s="2414"/>
      <c r="K79" s="2414"/>
      <c r="L79" s="2414"/>
      <c r="X79" s="2406"/>
      <c r="Y79" s="2406"/>
      <c r="Z79" s="2406"/>
    </row>
    <row r="80" spans="1:26" ht="13.5" thickBot="1">
      <c r="A80" s="2339" t="s">
        <v>1025</v>
      </c>
      <c r="B80" s="2416">
        <f t="shared" si="219"/>
        <v>107.25</v>
      </c>
      <c r="C80" s="2416">
        <f t="shared" si="219"/>
        <v>108.75</v>
      </c>
      <c r="D80" s="2416">
        <f t="shared" si="183"/>
        <v>108.75</v>
      </c>
      <c r="E80" s="2416">
        <f t="shared" si="220"/>
        <v>105.75</v>
      </c>
      <c r="F80" s="2416">
        <f t="shared" si="220"/>
        <v>102.5</v>
      </c>
      <c r="G80" s="3702">
        <v>2003</v>
      </c>
      <c r="H80" s="2417">
        <v>1</v>
      </c>
      <c r="I80" s="2414"/>
      <c r="J80" s="2414"/>
      <c r="K80" s="2414"/>
      <c r="L80" s="2414"/>
      <c r="S80" s="2357"/>
      <c r="T80" s="2326"/>
      <c r="U80" s="2326"/>
      <c r="X80" s="2406"/>
      <c r="Y80" s="2406"/>
      <c r="Z80" s="2406"/>
    </row>
    <row r="81" spans="1:26" ht="13.5" thickBot="1">
      <c r="A81" s="2339" t="s">
        <v>1026</v>
      </c>
      <c r="B81" s="2418">
        <v>106</v>
      </c>
      <c r="C81" s="2418">
        <v>107</v>
      </c>
      <c r="D81" s="2418">
        <f t="shared" si="183"/>
        <v>107</v>
      </c>
      <c r="E81" s="2418">
        <v>105</v>
      </c>
      <c r="F81" s="2419">
        <v>102</v>
      </c>
      <c r="G81" s="3700">
        <v>2002</v>
      </c>
      <c r="H81" s="2366">
        <v>4</v>
      </c>
      <c r="I81" s="2414"/>
      <c r="J81" s="2414"/>
      <c r="K81" s="2414"/>
      <c r="L81" s="2414"/>
      <c r="N81" s="2415"/>
      <c r="O81" s="2414"/>
      <c r="P81" s="2414"/>
      <c r="Q81" s="2414"/>
      <c r="S81" s="2415"/>
      <c r="T81" s="2414"/>
      <c r="U81" s="2414"/>
      <c r="V81" s="2414"/>
      <c r="X81" s="2406"/>
      <c r="Y81" s="2406"/>
      <c r="Z81" s="2406"/>
    </row>
    <row r="82" spans="1:26">
      <c r="A82" s="2339" t="s">
        <v>1027</v>
      </c>
      <c r="B82" s="2416">
        <f t="shared" ref="B82:C84" si="221">B83+(B$81-B$85)/4</f>
        <v>105</v>
      </c>
      <c r="C82" s="2416">
        <f t="shared" si="221"/>
        <v>106</v>
      </c>
      <c r="D82" s="2416">
        <f t="shared" si="183"/>
        <v>106</v>
      </c>
      <c r="E82" s="2416">
        <f t="shared" ref="E82:F84" si="222">E83+(E$81-E$85)/4</f>
        <v>104.5</v>
      </c>
      <c r="F82" s="2416">
        <f t="shared" si="222"/>
        <v>101.5</v>
      </c>
      <c r="G82" s="3701">
        <v>2002</v>
      </c>
      <c r="H82" s="2369">
        <v>3</v>
      </c>
      <c r="I82" s="2414"/>
      <c r="J82" s="2414"/>
      <c r="K82" s="2414"/>
      <c r="L82" s="2414"/>
      <c r="X82" s="2406"/>
      <c r="Y82" s="2406"/>
      <c r="Z82" s="2406"/>
    </row>
    <row r="83" spans="1:26">
      <c r="A83" s="2339" t="s">
        <v>1028</v>
      </c>
      <c r="B83" s="2416">
        <f t="shared" si="221"/>
        <v>104</v>
      </c>
      <c r="C83" s="2416">
        <f t="shared" si="221"/>
        <v>105</v>
      </c>
      <c r="D83" s="2416">
        <f t="shared" si="183"/>
        <v>105</v>
      </c>
      <c r="E83" s="2416">
        <f t="shared" si="222"/>
        <v>104</v>
      </c>
      <c r="F83" s="2416">
        <f t="shared" si="222"/>
        <v>101</v>
      </c>
      <c r="G83" s="3701">
        <v>2002</v>
      </c>
      <c r="H83" s="2359">
        <v>2</v>
      </c>
      <c r="I83" s="2414"/>
      <c r="J83" s="2414"/>
      <c r="K83" s="2414"/>
      <c r="L83" s="2414"/>
      <c r="X83" s="2406"/>
      <c r="Y83" s="2406"/>
      <c r="Z83" s="2406"/>
    </row>
    <row r="84" spans="1:26" s="2379" customFormat="1" ht="13.5" thickBot="1">
      <c r="A84" s="2375" t="s">
        <v>1029</v>
      </c>
      <c r="B84" s="2382">
        <f t="shared" si="221"/>
        <v>103</v>
      </c>
      <c r="C84" s="2382">
        <f t="shared" si="221"/>
        <v>104</v>
      </c>
      <c r="D84" s="2382">
        <f t="shared" si="183"/>
        <v>104</v>
      </c>
      <c r="E84" s="2382">
        <f t="shared" si="222"/>
        <v>103.5</v>
      </c>
      <c r="F84" s="2382">
        <f t="shared" si="222"/>
        <v>100.5</v>
      </c>
      <c r="G84" s="3702">
        <v>2002</v>
      </c>
      <c r="H84" s="2420">
        <v>1</v>
      </c>
      <c r="I84" s="2421"/>
      <c r="J84" s="2421"/>
      <c r="K84" s="2421"/>
      <c r="L84" s="2421"/>
      <c r="N84" s="2422"/>
      <c r="S84" s="2422"/>
      <c r="X84" s="2423"/>
      <c r="Y84" s="2423"/>
      <c r="Z84" s="2423"/>
    </row>
    <row r="85" spans="1:26" ht="13.5" thickBot="1">
      <c r="B85" s="2424">
        <v>102</v>
      </c>
      <c r="C85" s="2425">
        <v>103</v>
      </c>
      <c r="D85" s="2425">
        <f t="shared" si="183"/>
        <v>103</v>
      </c>
      <c r="E85" s="2425">
        <v>103</v>
      </c>
      <c r="F85" s="2426">
        <v>100</v>
      </c>
      <c r="I85" s="2414"/>
      <c r="J85" s="2414"/>
      <c r="K85" s="2414"/>
      <c r="L85" s="2414"/>
      <c r="N85" s="2415"/>
      <c r="O85" s="2414"/>
      <c r="P85" s="2414"/>
      <c r="Q85" s="2414"/>
      <c r="S85" s="2415"/>
      <c r="T85" s="2414"/>
      <c r="U85" s="2414"/>
      <c r="V85" s="2414"/>
      <c r="X85" s="2355"/>
      <c r="Y85" s="2355"/>
      <c r="Z85" s="2355"/>
    </row>
    <row r="87" spans="1:26" s="2428" customFormat="1">
      <c r="A87" s="2427" t="s">
        <v>1030</v>
      </c>
      <c r="G87" s="2429"/>
      <c r="N87" s="2429"/>
      <c r="S87" s="2429"/>
    </row>
    <row r="88" spans="1:26" s="2428" customFormat="1">
      <c r="A88" s="2428" t="s">
        <v>1031</v>
      </c>
      <c r="G88" s="2429"/>
      <c r="N88" s="2429"/>
      <c r="S88" s="2429"/>
    </row>
    <row r="89" spans="1:26" s="2428" customFormat="1">
      <c r="A89" s="2428" t="s">
        <v>1032</v>
      </c>
      <c r="G89" s="2429"/>
      <c r="I89" s="2430"/>
      <c r="J89" s="2430"/>
      <c r="K89" s="2430"/>
      <c r="L89" s="2430"/>
      <c r="N89" s="2431"/>
      <c r="O89" s="2430"/>
      <c r="P89" s="2430"/>
      <c r="Q89" s="2430"/>
      <c r="S89" s="2431"/>
      <c r="T89" s="2430"/>
      <c r="U89" s="2430"/>
      <c r="V89" s="2430"/>
    </row>
    <row r="90" spans="1:26" s="2428" customFormat="1">
      <c r="A90" s="2428" t="s">
        <v>1033</v>
      </c>
      <c r="G90" s="2429"/>
      <c r="N90" s="2429"/>
      <c r="S90" s="2429"/>
    </row>
    <row r="97" spans="7:22" ht="13.5" thickBot="1"/>
    <row r="98" spans="7:22">
      <c r="G98" s="2325"/>
      <c r="S98" s="2432" t="s">
        <v>1034</v>
      </c>
      <c r="T98" s="2433" t="s">
        <v>1035</v>
      </c>
      <c r="U98" s="2433" t="s">
        <v>1036</v>
      </c>
      <c r="V98" s="2433" t="s">
        <v>1037</v>
      </c>
    </row>
    <row r="99" spans="7:22">
      <c r="G99" s="2325"/>
      <c r="N99" s="2354"/>
      <c r="O99" s="2355"/>
      <c r="P99" s="2355"/>
      <c r="Q99" s="2355"/>
      <c r="S99" s="2434">
        <v>2006</v>
      </c>
      <c r="T99" s="2435">
        <v>15.1</v>
      </c>
      <c r="U99" s="2435">
        <v>7.43</v>
      </c>
      <c r="V99" s="2435">
        <v>26.26</v>
      </c>
    </row>
    <row r="100" spans="7:22">
      <c r="G100" s="2325"/>
      <c r="N100" s="2354"/>
      <c r="O100" s="2355"/>
      <c r="P100" s="2355"/>
      <c r="Q100" s="2355"/>
      <c r="S100" s="2436">
        <v>2005</v>
      </c>
      <c r="T100" s="2437">
        <v>13.9</v>
      </c>
      <c r="U100" s="2437">
        <v>7.49</v>
      </c>
      <c r="V100" s="2437">
        <v>24.92</v>
      </c>
    </row>
    <row r="101" spans="7:22">
      <c r="G101" s="2325"/>
      <c r="N101" s="2354"/>
      <c r="O101" s="2355"/>
      <c r="P101" s="2355"/>
      <c r="Q101" s="2355"/>
      <c r="S101" s="2434">
        <v>2004</v>
      </c>
      <c r="T101" s="2435">
        <v>9.48</v>
      </c>
      <c r="U101" s="2435">
        <v>7.2</v>
      </c>
      <c r="V101" s="2435">
        <v>14.68</v>
      </c>
    </row>
    <row r="102" spans="7:22">
      <c r="G102" s="2325"/>
      <c r="N102" s="2354"/>
      <c r="O102" s="2355"/>
      <c r="P102" s="2355"/>
      <c r="Q102" s="2355"/>
      <c r="S102" s="2436">
        <v>2003</v>
      </c>
      <c r="T102" s="2437">
        <v>4.5</v>
      </c>
      <c r="U102" s="2437">
        <v>6.12</v>
      </c>
      <c r="V102" s="2437">
        <v>2.34</v>
      </c>
    </row>
    <row r="103" spans="7:22" ht="13.5" thickBot="1">
      <c r="G103" s="2325"/>
      <c r="N103" s="2354"/>
      <c r="O103" s="2355"/>
      <c r="P103" s="2355"/>
      <c r="Q103" s="2355"/>
      <c r="S103" s="2438">
        <v>2002</v>
      </c>
      <c r="T103" s="2439">
        <v>3.59</v>
      </c>
      <c r="U103" s="2439">
        <v>4.54</v>
      </c>
      <c r="V103" s="2439">
        <v>2.5499999999999998</v>
      </c>
    </row>
    <row r="104" spans="7:22">
      <c r="G104" s="2325"/>
      <c r="N104" s="2354"/>
      <c r="O104" s="2355"/>
      <c r="P104" s="2355"/>
      <c r="Q104" s="2355"/>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c r="S114" s="232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44553</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4" customFormat="1" ht="14.25">
      <c r="A17" s="3121"/>
      <c r="B17" s="1251" t="s">
        <v>2829</v>
      </c>
      <c r="C17" s="1260">
        <v>43697</v>
      </c>
      <c r="D17" s="3122">
        <v>4.25</v>
      </c>
      <c r="E17" s="3122">
        <f>D17</f>
        <v>4.25</v>
      </c>
      <c r="F17" s="3122">
        <f>D17</f>
        <v>4.25</v>
      </c>
      <c r="G17" s="3122">
        <f>D17</f>
        <v>4.25</v>
      </c>
      <c r="H17" s="3122">
        <v>4.8499999999999996</v>
      </c>
      <c r="I17" s="3122"/>
      <c r="J17" s="3122"/>
      <c r="K17" s="3121"/>
      <c r="L17" s="1257"/>
      <c r="M17" s="1258">
        <v>42135</v>
      </c>
      <c r="N17" s="1257">
        <v>0.35</v>
      </c>
      <c r="O17" s="1257">
        <v>1.85</v>
      </c>
      <c r="P17" s="1257">
        <v>2.0499999999999998</v>
      </c>
      <c r="Q17" s="1257">
        <v>2.25</v>
      </c>
      <c r="R17" s="1257">
        <v>2.85</v>
      </c>
      <c r="S17" s="1257">
        <v>3.5</v>
      </c>
      <c r="T17" s="1257"/>
      <c r="U17" s="1257"/>
      <c r="V17" s="1257"/>
      <c r="W17" s="1257"/>
      <c r="X17" s="1257"/>
      <c r="Y17" s="1257"/>
      <c r="Z17" s="1257"/>
      <c r="AA17" s="3123"/>
      <c r="AB17" s="3123"/>
      <c r="AC17" s="3123"/>
      <c r="AD17" s="3123"/>
      <c r="AE17" s="3123"/>
      <c r="AF17" s="3123"/>
      <c r="AG17" s="3123"/>
      <c r="AH17" s="3123"/>
      <c r="AI17" s="3123"/>
      <c r="AJ17" s="3123"/>
      <c r="AK17" s="3123"/>
      <c r="AL17" s="3123"/>
      <c r="AM17" s="3123"/>
      <c r="AN17" s="3123"/>
      <c r="AO17" s="3123"/>
      <c r="AP17" s="3123"/>
      <c r="AQ17" s="3123"/>
      <c r="AR17" s="3123"/>
      <c r="AS17" s="3123"/>
      <c r="AT17" s="3123"/>
      <c r="AU17" s="3123"/>
      <c r="AV17" s="3123"/>
      <c r="AW17" s="3123"/>
      <c r="AX17" s="3123"/>
      <c r="AY17" s="3123"/>
      <c r="AZ17" s="3123"/>
      <c r="BA17" s="3123"/>
      <c r="BB17" s="3123"/>
      <c r="BC17" s="3123"/>
      <c r="BD17" s="3123"/>
      <c r="BE17" s="3123"/>
      <c r="BF17" s="3123"/>
      <c r="BG17" s="3123"/>
      <c r="BH17" s="3123"/>
      <c r="BI17" s="3123"/>
      <c r="BJ17" s="3123"/>
      <c r="BK17" s="3123"/>
      <c r="BL17" s="3123"/>
      <c r="BM17" s="3123"/>
      <c r="BN17" s="3123"/>
      <c r="BO17" s="3123"/>
      <c r="BP17" s="3123"/>
      <c r="BQ17" s="3123"/>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3123"/>
      <c r="CU17" s="3123"/>
      <c r="CV17" s="3123"/>
      <c r="CW17" s="3123"/>
      <c r="CX17" s="3123"/>
      <c r="CY17" s="3123"/>
      <c r="CZ17" s="3123"/>
      <c r="DA17" s="3123"/>
      <c r="DB17" s="3123"/>
      <c r="DC17" s="3123"/>
      <c r="DD17" s="3123"/>
      <c r="DE17" s="3123"/>
      <c r="DF17" s="3123"/>
      <c r="DG17" s="3123"/>
      <c r="DH17" s="3123"/>
      <c r="DI17" s="3123"/>
      <c r="DJ17" s="3123"/>
      <c r="DK17" s="3123"/>
      <c r="DL17" s="3123"/>
      <c r="DM17" s="3123"/>
      <c r="DN17" s="3123"/>
      <c r="DO17" s="3123"/>
      <c r="DP17" s="3123"/>
      <c r="DQ17" s="3123"/>
      <c r="DR17" s="3123"/>
      <c r="DS17" s="3123"/>
      <c r="DT17" s="3123"/>
      <c r="DU17" s="3123"/>
      <c r="DV17" s="3123"/>
      <c r="DW17" s="3123"/>
      <c r="DX17" s="3123"/>
      <c r="DY17" s="3123"/>
      <c r="DZ17" s="3123"/>
      <c r="EA17" s="3123"/>
      <c r="EB17" s="3123"/>
      <c r="EC17" s="3123"/>
      <c r="ED17" s="3123"/>
      <c r="EE17" s="3123"/>
      <c r="EF17" s="3123"/>
      <c r="EG17" s="3123"/>
      <c r="EH17" s="3123"/>
      <c r="EI17" s="3123"/>
      <c r="EJ17" s="3123"/>
      <c r="EK17" s="3123"/>
      <c r="EL17" s="3123"/>
      <c r="EM17" s="3123"/>
      <c r="EN17" s="3123"/>
      <c r="EO17" s="3123"/>
      <c r="EP17" s="3123"/>
      <c r="EQ17" s="3123"/>
      <c r="ER17" s="3123"/>
      <c r="ES17" s="3123"/>
      <c r="ET17" s="3123"/>
      <c r="EU17" s="3123"/>
      <c r="EV17" s="3123"/>
      <c r="EW17" s="3123"/>
      <c r="EX17" s="3123"/>
      <c r="EY17" s="3123"/>
      <c r="EZ17" s="3123"/>
      <c r="FA17" s="3123"/>
      <c r="FB17" s="3123"/>
      <c r="FC17" s="3123"/>
      <c r="FD17" s="3123"/>
      <c r="FE17" s="3123"/>
      <c r="FF17" s="3123"/>
      <c r="FG17" s="3123"/>
      <c r="FH17" s="3123"/>
      <c r="FI17" s="3123"/>
      <c r="FJ17" s="3123"/>
      <c r="FK17" s="3123"/>
      <c r="FL17" s="3123"/>
      <c r="FM17" s="3123"/>
      <c r="FN17" s="3123"/>
      <c r="FO17" s="3123"/>
      <c r="FP17" s="3123"/>
      <c r="FQ17" s="3123"/>
      <c r="FR17" s="3123"/>
      <c r="FS17" s="3123"/>
      <c r="FT17" s="3123"/>
      <c r="FU17" s="3123"/>
      <c r="FV17" s="3123"/>
      <c r="FW17" s="3123"/>
      <c r="FX17" s="3123"/>
      <c r="FY17" s="3123"/>
      <c r="FZ17" s="3123"/>
      <c r="GA17" s="3123"/>
      <c r="GB17" s="3123"/>
      <c r="GC17" s="3123"/>
      <c r="GD17" s="3123"/>
      <c r="GE17" s="3123"/>
      <c r="GF17" s="3123"/>
      <c r="GG17" s="3123"/>
      <c r="GH17" s="3123"/>
      <c r="GI17" s="3123"/>
      <c r="GJ17" s="3123"/>
      <c r="GK17" s="3123"/>
      <c r="GL17" s="3123"/>
      <c r="GM17" s="3123"/>
      <c r="GN17" s="3123"/>
      <c r="GO17" s="3123"/>
      <c r="GP17" s="3123"/>
      <c r="GQ17" s="3123"/>
      <c r="GR17" s="3123"/>
      <c r="GS17" s="3123"/>
      <c r="GT17" s="3123"/>
      <c r="GU17" s="3123"/>
      <c r="GV17" s="3123"/>
      <c r="GW17" s="3123"/>
      <c r="GX17" s="3123"/>
      <c r="GY17" s="3123"/>
      <c r="GZ17" s="3123"/>
      <c r="HA17" s="3123"/>
      <c r="HB17" s="3123"/>
      <c r="HC17" s="3123"/>
      <c r="HD17" s="3123"/>
      <c r="HE17" s="3123"/>
      <c r="HF17" s="3123"/>
      <c r="HG17" s="3123"/>
      <c r="HH17" s="3123"/>
      <c r="HI17" s="3123"/>
      <c r="HJ17" s="3123"/>
      <c r="HK17" s="3123"/>
      <c r="HL17" s="3123"/>
      <c r="HM17" s="3123"/>
      <c r="HN17" s="3123"/>
      <c r="HO17" s="3123"/>
      <c r="HP17" s="3123"/>
      <c r="HQ17" s="3123"/>
      <c r="HR17" s="3123"/>
      <c r="HS17" s="3123"/>
      <c r="HT17" s="3123"/>
      <c r="HU17" s="3123"/>
      <c r="HV17" s="3123"/>
      <c r="HW17" s="3123"/>
      <c r="HX17" s="3123"/>
      <c r="HY17" s="3123"/>
      <c r="HZ17" s="3123"/>
      <c r="IA17" s="3123"/>
      <c r="IB17" s="3123"/>
      <c r="IC17" s="3123"/>
      <c r="ID17" s="3123"/>
      <c r="IE17" s="3123"/>
      <c r="IF17" s="3123"/>
      <c r="IG17" s="3123"/>
      <c r="IH17" s="3123"/>
      <c r="II17" s="3123"/>
      <c r="IJ17" s="3123"/>
      <c r="IK17" s="3123"/>
      <c r="IL17" s="3123"/>
      <c r="IM17" s="3123"/>
      <c r="IN17" s="3123"/>
      <c r="IO17" s="3123"/>
      <c r="IP17" s="3123"/>
      <c r="IQ17" s="3123"/>
      <c r="IR17" s="3123"/>
      <c r="IS17" s="3123"/>
      <c r="IT17" s="3123"/>
      <c r="IU17" s="3123"/>
      <c r="IV17" s="3123"/>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比较法-办公</vt:lpstr>
      <vt:lpstr>案例</vt:lpstr>
      <vt:lpstr>成本法</vt:lpstr>
      <vt:lpstr>假设开发法</vt:lpstr>
      <vt:lpstr>基准地价修正</vt:lpstr>
      <vt:lpstr>收益法</vt:lpstr>
      <vt:lpstr>典型户型修正</vt:lpstr>
      <vt:lpstr>收益法-酒店模型</vt:lpstr>
      <vt:lpstr>比较法-住宅</vt:lpstr>
      <vt:lpstr>比较法-商业</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2021-12-23T09:39:50Z</dcterms:modified>
</cp:coreProperties>
</file>